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mart Grids\ICE\Projets\Smart Island\Actions\Action 2\Déchets - Potentiel Gazéification\Outil Potentiel energie biomasse\"/>
    </mc:Choice>
  </mc:AlternateContent>
  <xr:revisionPtr revIDLastSave="0" documentId="13_ncr:1_{AC6E15AE-F462-4F62-BC97-370B12DE2AFB}" xr6:coauthVersionLast="47" xr6:coauthVersionMax="47" xr10:uidLastSave="{00000000-0000-0000-0000-000000000000}"/>
  <bookViews>
    <workbookView xWindow="-28920" yWindow="-4680" windowWidth="29040" windowHeight="15840" tabRatio="760" activeTab="2" xr2:uid="{C0A488F2-0040-4F0D-B1ED-B2C4D43A3EF5}"/>
  </bookViews>
  <sheets>
    <sheet name="Input waste-biomass" sheetId="1" r:id="rId1"/>
    <sheet name="Calculation" sheetId="3" r:id="rId2"/>
    <sheet name="Summary" sheetId="9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4" i="3" l="1"/>
  <c r="F52" i="9"/>
  <c r="F53" i="9"/>
  <c r="F51" i="9"/>
  <c r="F50" i="9"/>
  <c r="C63" i="9"/>
  <c r="B62" i="9"/>
  <c r="B63" i="9"/>
  <c r="B64" i="9"/>
  <c r="B65" i="9"/>
  <c r="B66" i="9"/>
  <c r="B60" i="9"/>
  <c r="B59" i="9"/>
  <c r="B58" i="9"/>
  <c r="B57" i="9"/>
  <c r="B56" i="9"/>
  <c r="C52" i="9"/>
  <c r="B53" i="9"/>
  <c r="B52" i="9"/>
  <c r="B51" i="9"/>
  <c r="B50" i="9"/>
  <c r="C11" i="9"/>
  <c r="E17" i="9"/>
  <c r="F17" i="9"/>
  <c r="G17" i="9"/>
  <c r="E18" i="9"/>
  <c r="G18" i="9"/>
  <c r="E19" i="9"/>
  <c r="F19" i="9"/>
  <c r="F20" i="9"/>
  <c r="G20" i="9"/>
  <c r="D18" i="9"/>
  <c r="D19" i="9"/>
  <c r="D20" i="9"/>
  <c r="D17" i="9"/>
  <c r="D16" i="9"/>
  <c r="B21" i="9"/>
  <c r="D10" i="9"/>
  <c r="B18" i="9"/>
  <c r="C18" i="9"/>
  <c r="B19" i="9"/>
  <c r="C19" i="9"/>
  <c r="C17" i="9"/>
  <c r="B17" i="9"/>
  <c r="B32" i="9"/>
  <c r="B31" i="9"/>
  <c r="B29" i="9"/>
  <c r="B25" i="9"/>
  <c r="B24" i="9"/>
  <c r="B15" i="9"/>
  <c r="B14" i="9"/>
  <c r="B12" i="9"/>
  <c r="B11" i="9"/>
  <c r="C5" i="9"/>
  <c r="B6" i="9"/>
  <c r="Y153" i="3"/>
  <c r="Y156" i="3"/>
  <c r="Y155" i="3"/>
  <c r="Y154" i="3"/>
  <c r="U160" i="3"/>
  <c r="T163" i="3"/>
  <c r="T162" i="3"/>
  <c r="T161" i="3"/>
  <c r="T160" i="3"/>
  <c r="T159" i="3"/>
  <c r="T157" i="3"/>
  <c r="T156" i="3"/>
  <c r="T155" i="3"/>
  <c r="T154" i="3"/>
  <c r="T153" i="3"/>
  <c r="T150" i="3"/>
  <c r="T149" i="3"/>
  <c r="T148" i="3"/>
  <c r="T147" i="3"/>
  <c r="AF55" i="3" l="1"/>
  <c r="AF50" i="3"/>
  <c r="AD33" i="3"/>
  <c r="I110" i="3"/>
  <c r="I70" i="3"/>
  <c r="C21" i="9" s="1"/>
  <c r="AB97" i="3"/>
  <c r="Y95" i="3" s="1"/>
  <c r="V101" i="3"/>
  <c r="U101" i="3"/>
  <c r="V71" i="3"/>
  <c r="U71" i="3"/>
  <c r="AB55" i="3"/>
  <c r="AB50" i="3"/>
  <c r="AB46" i="3"/>
  <c r="AB39" i="3"/>
  <c r="AB34" i="3"/>
  <c r="AB29" i="3"/>
  <c r="AB25" i="3"/>
  <c r="AB21" i="3"/>
  <c r="AB17" i="3"/>
  <c r="AB13" i="3"/>
  <c r="W16" i="3"/>
  <c r="W71" i="3" s="1"/>
  <c r="AB64" i="3" s="1"/>
  <c r="W12" i="3"/>
  <c r="W20" i="3"/>
  <c r="W50" i="3"/>
  <c r="W46" i="3"/>
  <c r="W101" i="3" s="1"/>
  <c r="W42" i="3"/>
  <c r="W38" i="3"/>
  <c r="W32" i="3"/>
  <c r="W24" i="3"/>
  <c r="W28" i="3"/>
  <c r="C13" i="3"/>
  <c r="C16" i="3"/>
  <c r="E16" i="3" s="1"/>
  <c r="C17" i="3"/>
  <c r="D17" i="3" s="1"/>
  <c r="C18" i="3"/>
  <c r="D18" i="3" s="1"/>
  <c r="C19" i="3"/>
  <c r="D19" i="3" s="1"/>
  <c r="C20" i="3"/>
  <c r="E20" i="3" s="1"/>
  <c r="C21" i="3"/>
  <c r="D21" i="3" s="1"/>
  <c r="C12" i="3"/>
  <c r="J121" i="3"/>
  <c r="J122" i="3"/>
  <c r="J123" i="3"/>
  <c r="J124" i="3"/>
  <c r="J125" i="3"/>
  <c r="J126" i="3"/>
  <c r="J127" i="3"/>
  <c r="J128" i="3"/>
  <c r="J129" i="3"/>
  <c r="J120" i="3"/>
  <c r="I121" i="3"/>
  <c r="I122" i="3"/>
  <c r="I123" i="3"/>
  <c r="I124" i="3"/>
  <c r="I125" i="3"/>
  <c r="I126" i="3"/>
  <c r="I127" i="3"/>
  <c r="I128" i="3"/>
  <c r="I129" i="3"/>
  <c r="I120" i="3"/>
  <c r="H121" i="3"/>
  <c r="H122" i="3"/>
  <c r="H123" i="3"/>
  <c r="H124" i="3"/>
  <c r="H125" i="3"/>
  <c r="H126" i="3"/>
  <c r="H127" i="3"/>
  <c r="H128" i="3"/>
  <c r="H129" i="3"/>
  <c r="H120" i="3"/>
  <c r="L101" i="3"/>
  <c r="I73" i="3"/>
  <c r="I74" i="3" s="1"/>
  <c r="I76" i="3" s="1"/>
  <c r="I58" i="3"/>
  <c r="I77" i="3" s="1"/>
  <c r="V5" i="3"/>
  <c r="U97" i="3" s="1"/>
  <c r="B12" i="3"/>
  <c r="B13" i="3"/>
  <c r="B14" i="3"/>
  <c r="B15" i="3"/>
  <c r="B16" i="3"/>
  <c r="B17" i="3"/>
  <c r="B18" i="3"/>
  <c r="B19" i="3"/>
  <c r="B20" i="3"/>
  <c r="B21" i="3"/>
  <c r="D13" i="3"/>
  <c r="W84" i="3" l="1"/>
  <c r="U76" i="3"/>
  <c r="W80" i="3"/>
  <c r="V97" i="3"/>
  <c r="V76" i="3"/>
  <c r="V80" i="3"/>
  <c r="Z85" i="3"/>
  <c r="W97" i="3"/>
  <c r="V84" i="3"/>
  <c r="U84" i="3"/>
  <c r="AB85" i="3"/>
  <c r="Y83" i="3" s="1"/>
  <c r="U156" i="3" s="1"/>
  <c r="C59" i="9" s="1"/>
  <c r="AA64" i="3"/>
  <c r="Z64" i="3"/>
  <c r="W76" i="3"/>
  <c r="U80" i="3"/>
  <c r="J131" i="3"/>
  <c r="I135" i="3" s="1"/>
  <c r="I131" i="3"/>
  <c r="D12" i="3"/>
  <c r="E12" i="3"/>
  <c r="I75" i="3"/>
  <c r="I59" i="3"/>
  <c r="E18" i="3"/>
  <c r="F18" i="3" s="1"/>
  <c r="E19" i="3"/>
  <c r="F19" i="3" s="1"/>
  <c r="D20" i="3"/>
  <c r="F20" i="3" s="1"/>
  <c r="E21" i="3"/>
  <c r="F21" i="3" s="1"/>
  <c r="E17" i="3"/>
  <c r="F17" i="3" s="1"/>
  <c r="E13" i="3"/>
  <c r="F13" i="3" s="1"/>
  <c r="D16" i="3"/>
  <c r="F16" i="3" s="1"/>
  <c r="AA85" i="3" l="1"/>
  <c r="AA68" i="3"/>
  <c r="AB68" i="3"/>
  <c r="T74" i="3"/>
  <c r="U149" i="3" s="1"/>
  <c r="Z68" i="3"/>
  <c r="I139" i="3"/>
  <c r="I140" i="3"/>
  <c r="C15" i="3" s="1"/>
  <c r="F12" i="3"/>
  <c r="I61" i="3"/>
  <c r="I60" i="3"/>
  <c r="C14" i="3" l="1"/>
  <c r="E14" i="3" s="1"/>
  <c r="C29" i="9"/>
  <c r="C6" i="3"/>
  <c r="D14" i="3"/>
  <c r="D15" i="3"/>
  <c r="E15" i="3"/>
  <c r="C6" i="9" l="1"/>
  <c r="I147" i="3"/>
  <c r="C31" i="9" s="1"/>
  <c r="V123" i="3"/>
  <c r="W123" i="3"/>
  <c r="Z156" i="3" s="1"/>
  <c r="G53" i="9" s="1"/>
  <c r="U123" i="3"/>
  <c r="I87" i="3"/>
  <c r="I90" i="3" s="1"/>
  <c r="I99" i="3" s="1"/>
  <c r="I112" i="3"/>
  <c r="F14" i="3"/>
  <c r="I53" i="3"/>
  <c r="I88" i="3"/>
  <c r="I91" i="3" s="1"/>
  <c r="I100" i="3" s="1"/>
  <c r="I103" i="3" s="1"/>
  <c r="I78" i="3"/>
  <c r="I52" i="3"/>
  <c r="I151" i="3"/>
  <c r="C32" i="9" s="1"/>
  <c r="F15" i="3"/>
  <c r="I51" i="3"/>
  <c r="I54" i="3"/>
  <c r="D6" i="3"/>
  <c r="D6" i="9" s="1"/>
  <c r="E6" i="3"/>
  <c r="F65" i="3" l="1"/>
  <c r="D11" i="9" s="1"/>
  <c r="I47" i="3"/>
  <c r="E6" i="9"/>
  <c r="C25" i="9"/>
  <c r="U67" i="3"/>
  <c r="W67" i="3"/>
  <c r="V67" i="3"/>
  <c r="I102" i="3"/>
  <c r="Z106" i="3"/>
  <c r="AA106" i="3"/>
  <c r="AB106" i="3"/>
  <c r="Y104" i="3" s="1"/>
  <c r="U162" i="3" s="1"/>
  <c r="C65" i="9" s="1"/>
  <c r="F6" i="3"/>
  <c r="F6" i="9" s="1"/>
  <c r="I19" i="3"/>
  <c r="I13" i="3"/>
  <c r="I15" i="3"/>
  <c r="I17" i="3"/>
  <c r="I16" i="3"/>
  <c r="I14" i="3"/>
  <c r="I12" i="3"/>
  <c r="I18" i="3"/>
  <c r="C24" i="9" l="1"/>
  <c r="V63" i="3"/>
  <c r="W63" i="3"/>
  <c r="U63" i="3"/>
  <c r="U87" i="3" s="1"/>
  <c r="W93" i="3" s="1"/>
  <c r="J14" i="3"/>
  <c r="K46" i="3"/>
  <c r="C15" i="9" s="1"/>
  <c r="V87" i="3"/>
  <c r="W119" i="3"/>
  <c r="Z155" i="3" s="1"/>
  <c r="G52" i="9" s="1"/>
  <c r="T61" i="3"/>
  <c r="U148" i="3" s="1"/>
  <c r="C51" i="9" s="1"/>
  <c r="W87" i="3"/>
  <c r="I68" i="3"/>
  <c r="I46" i="3"/>
  <c r="C14" i="9" s="1"/>
  <c r="U105" i="3"/>
  <c r="J16" i="3"/>
  <c r="J19" i="3"/>
  <c r="J13" i="3"/>
  <c r="J17" i="3"/>
  <c r="J18" i="3"/>
  <c r="J15" i="3"/>
  <c r="J12" i="3"/>
  <c r="I48" i="3"/>
  <c r="C12" i="9" s="1"/>
  <c r="L52" i="3"/>
  <c r="F18" i="9" s="1"/>
  <c r="M53" i="3"/>
  <c r="G19" i="9" s="1"/>
  <c r="K54" i="3"/>
  <c r="E20" i="9" s="1"/>
  <c r="U93" i="3" l="1"/>
  <c r="V93" i="3"/>
  <c r="W105" i="3"/>
  <c r="T91" i="3" s="1"/>
  <c r="U150" i="3" s="1"/>
  <c r="C53" i="9" s="1"/>
  <c r="V105" i="3"/>
  <c r="V107" i="3" s="1"/>
  <c r="AA111" i="3" s="1"/>
  <c r="V119" i="3"/>
  <c r="U119" i="3"/>
  <c r="U137" i="3"/>
  <c r="C40" i="9" s="1"/>
  <c r="Y137" i="3"/>
  <c r="G40" i="9" s="1"/>
  <c r="V138" i="3"/>
  <c r="D41" i="9" s="1"/>
  <c r="Z138" i="3"/>
  <c r="H41" i="9" s="1"/>
  <c r="W139" i="3"/>
  <c r="E42" i="9" s="1"/>
  <c r="AA139" i="3"/>
  <c r="I42" i="9" s="1"/>
  <c r="X140" i="3"/>
  <c r="F43" i="9" s="1"/>
  <c r="U141" i="3"/>
  <c r="C44" i="9" s="1"/>
  <c r="Y141" i="3"/>
  <c r="G44" i="9" s="1"/>
  <c r="V142" i="3"/>
  <c r="D45" i="9" s="1"/>
  <c r="Z142" i="3"/>
  <c r="H45" i="9" s="1"/>
  <c r="X136" i="3"/>
  <c r="F39" i="9" s="1"/>
  <c r="U136" i="3"/>
  <c r="C39" i="9" s="1"/>
  <c r="U138" i="3"/>
  <c r="C41" i="9" s="1"/>
  <c r="V137" i="3"/>
  <c r="D40" i="9" s="1"/>
  <c r="Z137" i="3"/>
  <c r="H40" i="9" s="1"/>
  <c r="W138" i="3"/>
  <c r="E41" i="9" s="1"/>
  <c r="AA138" i="3"/>
  <c r="I41" i="9" s="1"/>
  <c r="X139" i="3"/>
  <c r="F42" i="9" s="1"/>
  <c r="U140" i="3"/>
  <c r="C43" i="9" s="1"/>
  <c r="Y140" i="3"/>
  <c r="G43" i="9" s="1"/>
  <c r="V141" i="3"/>
  <c r="D44" i="9" s="1"/>
  <c r="Z141" i="3"/>
  <c r="H44" i="9" s="1"/>
  <c r="W142" i="3"/>
  <c r="E45" i="9" s="1"/>
  <c r="AA142" i="3"/>
  <c r="I45" i="9" s="1"/>
  <c r="Y136" i="3"/>
  <c r="G39" i="9" s="1"/>
  <c r="W137" i="3"/>
  <c r="E40" i="9" s="1"/>
  <c r="AA137" i="3"/>
  <c r="I40" i="9" s="1"/>
  <c r="X138" i="3"/>
  <c r="F41" i="9" s="1"/>
  <c r="U139" i="3"/>
  <c r="C42" i="9" s="1"/>
  <c r="Y139" i="3"/>
  <c r="G42" i="9" s="1"/>
  <c r="V140" i="3"/>
  <c r="D43" i="9" s="1"/>
  <c r="Z140" i="3"/>
  <c r="H43" i="9" s="1"/>
  <c r="W141" i="3"/>
  <c r="E44" i="9" s="1"/>
  <c r="AA141" i="3"/>
  <c r="I44" i="9" s="1"/>
  <c r="X142" i="3"/>
  <c r="F45" i="9" s="1"/>
  <c r="V136" i="3"/>
  <c r="D39" i="9" s="1"/>
  <c r="Z136" i="3"/>
  <c r="H39" i="9" s="1"/>
  <c r="X137" i="3"/>
  <c r="F40" i="9" s="1"/>
  <c r="Y138" i="3"/>
  <c r="G41" i="9" s="1"/>
  <c r="V139" i="3"/>
  <c r="D42" i="9" s="1"/>
  <c r="Z139" i="3"/>
  <c r="H42" i="9" s="1"/>
  <c r="W140" i="3"/>
  <c r="E43" i="9" s="1"/>
  <c r="AA140" i="3"/>
  <c r="I43" i="9" s="1"/>
  <c r="X141" i="3"/>
  <c r="F44" i="9" s="1"/>
  <c r="U142" i="3"/>
  <c r="C45" i="9" s="1"/>
  <c r="Y142" i="3"/>
  <c r="G45" i="9" s="1"/>
  <c r="W136" i="3"/>
  <c r="E39" i="9" s="1"/>
  <c r="AA136" i="3"/>
  <c r="I39" i="9" s="1"/>
  <c r="U107" i="3"/>
  <c r="Z111" i="3" s="1"/>
  <c r="V114" i="3"/>
  <c r="AA101" i="3"/>
  <c r="AB80" i="3"/>
  <c r="AA76" i="3"/>
  <c r="Z72" i="3"/>
  <c r="V125" i="3"/>
  <c r="W114" i="3"/>
  <c r="Z154" i="3" s="1"/>
  <c r="G51" i="9" s="1"/>
  <c r="Z101" i="3"/>
  <c r="AA80" i="3"/>
  <c r="Z76" i="3"/>
  <c r="U114" i="3"/>
  <c r="Z80" i="3"/>
  <c r="AA72" i="3"/>
  <c r="AB101" i="3"/>
  <c r="Y99" i="3" s="1"/>
  <c r="U161" i="3" s="1"/>
  <c r="C64" i="9" s="1"/>
  <c r="AB76" i="3"/>
  <c r="AB72" i="3"/>
  <c r="W125" i="3" l="1"/>
  <c r="Z153" i="3" s="1"/>
  <c r="G50" i="9" s="1"/>
  <c r="W107" i="3"/>
  <c r="U147" i="3" s="1"/>
  <c r="C50" i="9" s="1"/>
  <c r="Z90" i="3"/>
  <c r="AA90" i="3"/>
  <c r="AB111" i="3"/>
  <c r="Y110" i="3" s="1"/>
  <c r="AB90" i="3"/>
  <c r="Y88" i="3" s="1"/>
  <c r="U157" i="3" s="1"/>
  <c r="C60" i="9" s="1"/>
  <c r="T75" i="3"/>
  <c r="U125" i="3"/>
  <c r="AA125" i="3"/>
  <c r="T62" i="3"/>
  <c r="Y62" i="3"/>
  <c r="U155" i="3" s="1"/>
  <c r="C58" i="9" s="1"/>
  <c r="T92" i="3"/>
  <c r="Z125" i="3"/>
  <c r="AD93" i="3" l="1"/>
  <c r="U159" i="3" s="1"/>
  <c r="C62" i="9" s="1"/>
  <c r="U163" i="3"/>
  <c r="C66" i="9" s="1"/>
  <c r="AB125" i="3"/>
  <c r="AD60" i="3"/>
  <c r="AE60" i="3" l="1"/>
  <c r="U154" i="3"/>
  <c r="C57" i="9" s="1"/>
  <c r="Y89" i="3"/>
  <c r="U153" i="3"/>
  <c r="C56" i="9" s="1"/>
  <c r="Y96" i="3"/>
  <c r="AE93" i="3"/>
  <c r="Y84" i="3"/>
  <c r="Y105" i="3"/>
  <c r="Y63" i="3"/>
  <c r="Y100" i="3"/>
  <c r="Y111" i="3"/>
</calcChain>
</file>

<file path=xl/sharedStrings.xml><?xml version="1.0" encoding="utf-8"?>
<sst xmlns="http://schemas.openxmlformats.org/spreadsheetml/2006/main" count="409" uniqueCount="186">
  <si>
    <t>kg/h</t>
  </si>
  <si>
    <t>Raw quantities - t</t>
  </si>
  <si>
    <t>Moisture - %w wet basis</t>
  </si>
  <si>
    <t>Ash content - %w dry basis</t>
  </si>
  <si>
    <t>Non-combustible body (rocks, metals…) - %w wet basis</t>
  </si>
  <si>
    <t>Low Heating Value (LHV) - MJ/kg - dry basis</t>
  </si>
  <si>
    <t>Fuel 1</t>
  </si>
  <si>
    <t>Fuel 2</t>
  </si>
  <si>
    <t>Fuel 3</t>
  </si>
  <si>
    <t>Fuel 4</t>
  </si>
  <si>
    <t>Fuel 5</t>
  </si>
  <si>
    <t>Fuel 6</t>
  </si>
  <si>
    <t>Fuel 7</t>
  </si>
  <si>
    <t>Fuel 8</t>
  </si>
  <si>
    <t>Fuel 9</t>
  </si>
  <si>
    <t>Fuel 10</t>
  </si>
  <si>
    <t>Section : Energy Potential estimation</t>
  </si>
  <si>
    <t>Section : Design of the valorization unit</t>
  </si>
  <si>
    <t>Total energy potential - MWh th</t>
  </si>
  <si>
    <t>Total Electricity Potential - MWhe</t>
  </si>
  <si>
    <r>
      <t xml:space="preserve">average LHV dry Wood - MJ/kg
</t>
    </r>
    <r>
      <rPr>
        <b/>
        <sz val="8"/>
        <color theme="1"/>
        <rFont val="Calibri"/>
        <family val="2"/>
        <scheme val="minor"/>
      </rPr>
      <t>If not input by users</t>
    </r>
  </si>
  <si>
    <t>Gasification electric yield - kWhelec/kg</t>
  </si>
  <si>
    <t>Heat recovery performance - %</t>
  </si>
  <si>
    <t>Input thermal Energy - MWh</t>
  </si>
  <si>
    <t>Electricity Potential - MWhe</t>
  </si>
  <si>
    <t>Heat Potential - MWhth</t>
  </si>
  <si>
    <t>Time of operation - h/y</t>
  </si>
  <si>
    <t>Electrical power output (at fuel quantities given, and for a time of operation) - kWe</t>
  </si>
  <si>
    <t>Electric power output (user's choice) - kWe</t>
  </si>
  <si>
    <t>Time of operation - h/y (to consume all the fuel)</t>
  </si>
  <si>
    <t>Thermal power output - kWth</t>
  </si>
  <si>
    <t>Thermal power output (at fuel quantities given, and for a time of operation) - kWth</t>
  </si>
  <si>
    <t>Total Heat potential - MWh th (in case of cogeneration)</t>
  </si>
  <si>
    <t>Average fuel consumption based on the fuel quantity (non-stop working)</t>
  </si>
  <si>
    <t>kg/d (24/24)</t>
  </si>
  <si>
    <t>kg/week (24/7)</t>
  </si>
  <si>
    <t>kg/month (24/7)</t>
  </si>
  <si>
    <t>Scenario</t>
  </si>
  <si>
    <t>Non-stop Operation (24/24, 7/7) - 1 annual stop</t>
  </si>
  <si>
    <t>Operation spread over 1 year + condition : 5 d/week</t>
  </si>
  <si>
    <t>Operation spread over 1 year + condition : 16 h/d</t>
  </si>
  <si>
    <t>h/d</t>
  </si>
  <si>
    <t>d/week</t>
  </si>
  <si>
    <t>week/year</t>
  </si>
  <si>
    <t>in grey : fixed parameter, in red : variable to ensure the scenario</t>
  </si>
  <si>
    <t>Maximum fuel consumption with chosen unit - non-stop working</t>
  </si>
  <si>
    <t>kg/d</t>
  </si>
  <si>
    <t>kg/week</t>
  </si>
  <si>
    <t>kg/Month</t>
  </si>
  <si>
    <t>Minimal Power output of the unit recommended based on the chosen operation rythm - kWe</t>
  </si>
  <si>
    <t>Hours of operation per day - h/d</t>
  </si>
  <si>
    <t>Number of operating day per week - d/week</t>
  </si>
  <si>
    <t>Nombre operating week per year - week-year</t>
  </si>
  <si>
    <t>Minimum daily operating hours, based on unit chosen (base 365 d/y) - h/d</t>
  </si>
  <si>
    <t>Fuel consumption - Chosen operation rythm</t>
  </si>
  <si>
    <t>kg/d (chosen operation rythm)</t>
  </si>
  <si>
    <t>kg/week (chosen operation rythm)</t>
  </si>
  <si>
    <t>Fuel consumed, based on chosen unit power, and chosen operation rythm - t/y</t>
  </si>
  <si>
    <t>Difference between fuel available and fuel consumption capability of the chosen unit, at the chosen operation rythm
(positive : under-design / negative : over-design) - t/y</t>
  </si>
  <si>
    <t>Preparation and Storage of the fuel</t>
  </si>
  <si>
    <t>Bulk density of fuel (as received) - kg/m3</t>
  </si>
  <si>
    <t>Bulk density of shredded fuel - kg/m3</t>
  </si>
  <si>
    <t>Annual Volume of fuel (as received) - m3</t>
  </si>
  <si>
    <t>Annual Volume of shredded fuel - m3</t>
  </si>
  <si>
    <t>Average monthly volume of fuel (as received) - m3</t>
  </si>
  <si>
    <t>Average monthly volume of shredded fuel - m3</t>
  </si>
  <si>
    <t>Height of fuel pile (as received) - m</t>
  </si>
  <si>
    <t>Height of shredded fuel pile - m</t>
  </si>
  <si>
    <t>Surface occupied by fuel (as received) in the storage 1 - m2</t>
  </si>
  <si>
    <t>Surface occupied by shredded fuel in the storage 2 - m2</t>
  </si>
  <si>
    <t>Fuel (as received) storage capacity in average month - month</t>
  </si>
  <si>
    <t>Shredded Fuel storage capacity in average month - month</t>
  </si>
  <si>
    <t>Margin on storage length regarding fuel pile - %</t>
  </si>
  <si>
    <t>Margin on storage area regarding fuel pile - %</t>
  </si>
  <si>
    <t>Surface of the storage 1 of fuel (as received) with margin - m2</t>
  </si>
  <si>
    <t>Surface of the storage 2 of shredded fuel with margin - m2</t>
  </si>
  <si>
    <t>kg/month (chosen operation rythm) (30,5d/mo)</t>
  </si>
  <si>
    <t xml:space="preserve">Fuel grinder design </t>
  </si>
  <si>
    <t>Time of operation when grinding - h/day</t>
  </si>
  <si>
    <t>Number of grinding hour per month (30,5d/mo) - h/month</t>
  </si>
  <si>
    <t>Grinding rythm - 1 day /month</t>
  </si>
  <si>
    <t>Storage design</t>
  </si>
  <si>
    <t>Minimum capacity of grinder - kg/h
(to treat the same amount of fuel consumed by the unit, on the chosen rythm of waste-to-energy unit)</t>
  </si>
  <si>
    <t xml:space="preserve">Residues : quantities </t>
  </si>
  <si>
    <t>Fuel</t>
  </si>
  <si>
    <t>Ash - t</t>
  </si>
  <si>
    <t>Inert - t</t>
  </si>
  <si>
    <t>total</t>
  </si>
  <si>
    <t>Dry mass, inert free - t</t>
  </si>
  <si>
    <t>Inert, removed during preparation (before energy valorization)</t>
  </si>
  <si>
    <t>Efficiency of removing inert in the preparation phase - %</t>
  </si>
  <si>
    <t>Inert still present in the fuel - t</t>
  </si>
  <si>
    <t>Total mass of fuel, inert free (with effiency) - t</t>
  </si>
  <si>
    <t>Share of residues of gasification - %w-dry basis</t>
  </si>
  <si>
    <t>Share of fly ash (cyclone, filters) - %w-dry basis</t>
  </si>
  <si>
    <t>Chosen Electrical Power - kWe</t>
  </si>
  <si>
    <t>Lower</t>
  </si>
  <si>
    <t>Higher</t>
  </si>
  <si>
    <t>Input economical data</t>
  </si>
  <si>
    <t>Section : Economical analysis</t>
  </si>
  <si>
    <t>Mean</t>
  </si>
  <si>
    <t>Capital Cost</t>
  </si>
  <si>
    <t>Operational Cost</t>
  </si>
  <si>
    <t>Storage (hangar for raw and chip wood) - €/m2</t>
  </si>
  <si>
    <t>Grinder + Sieve - €</t>
  </si>
  <si>
    <t>Silo and feeding to the gasifier - €/kWe</t>
  </si>
  <si>
    <t>Process (energy production)</t>
  </si>
  <si>
    <t>Fuel management</t>
  </si>
  <si>
    <t>Installation + Start-up of the unit - €/kW</t>
  </si>
  <si>
    <t>Ingineering, Construction, Transport</t>
  </si>
  <si>
    <t>Transportation of the equipement - €/kW</t>
  </si>
  <si>
    <t>Engineering phase (initial) - % of total investment</t>
  </si>
  <si>
    <t>Terrain - €/m2</t>
  </si>
  <si>
    <t xml:space="preserve">Provision of inexpected construction - % of total investment </t>
  </si>
  <si>
    <t>Power Connection to the local grid - €</t>
  </si>
  <si>
    <t>Fixed Charge</t>
  </si>
  <si>
    <t>Maintenance</t>
  </si>
  <si>
    <t>Grinder + Sieve - % of investment cost of the equipment</t>
  </si>
  <si>
    <t>Silo and feeding to the gasifier - % of investment cost of the equipment</t>
  </si>
  <si>
    <t>Cogeneration - €/MWhe produced</t>
  </si>
  <si>
    <t>Gasifier + cogeneration Unit - €/kWe</t>
  </si>
  <si>
    <t>Gasifier - €/MWhe produced</t>
  </si>
  <si>
    <t>Provision for Engine - €/MWhe produced</t>
  </si>
  <si>
    <t>Salary</t>
  </si>
  <si>
    <t>Average annual Full-Time Equivalent salary (gross salary + social security charges) - €/FTE</t>
  </si>
  <si>
    <t>Other</t>
  </si>
  <si>
    <t>Insurance - % of investment cost</t>
  </si>
  <si>
    <t>Variable Charge</t>
  </si>
  <si>
    <t>Fuel (complementary to the prepared fuel) - €/t</t>
  </si>
  <si>
    <t>Self consumption</t>
  </si>
  <si>
    <t>Electricity - €/MWh</t>
  </si>
  <si>
    <t>Evacuation of Residues</t>
  </si>
  <si>
    <t>Residue treatment cost - €/t</t>
  </si>
  <si>
    <t>Output economical data</t>
  </si>
  <si>
    <t>Storage : hangar for raw wood - €</t>
  </si>
  <si>
    <t>Storage : hangar for prepared fuel - €</t>
  </si>
  <si>
    <t>Provision of inexpected construction - €</t>
  </si>
  <si>
    <t>Transportation of the equipement - €</t>
  </si>
  <si>
    <t>Engineering phase (initial) - €</t>
  </si>
  <si>
    <t>Total Investment for fuel preparation + process - €</t>
  </si>
  <si>
    <t>Total Investment - €</t>
  </si>
  <si>
    <t>Grinder + Sieve - €/y</t>
  </si>
  <si>
    <t>Silo and feeding to the gasifier - €/y</t>
  </si>
  <si>
    <t>€</t>
  </si>
  <si>
    <t>% total</t>
  </si>
  <si>
    <t>Total electricity produced - MWh/y</t>
  </si>
  <si>
    <t>Gasifier - €/y</t>
  </si>
  <si>
    <t>Cogeneration - €/y</t>
  </si>
  <si>
    <t>Provision for Engine - €/y</t>
  </si>
  <si>
    <t>Number of working hours - h/y</t>
  </si>
  <si>
    <t>Working Hours per FTE - h/y</t>
  </si>
  <si>
    <t>Average annual Full-Time Equivalent salary (gross salary + social security charges) - €/y</t>
  </si>
  <si>
    <t>Number of FTE - FTE</t>
  </si>
  <si>
    <t>Insurance - €/y</t>
  </si>
  <si>
    <t>Electricity - €/y</t>
  </si>
  <si>
    <t xml:space="preserve">Incomes </t>
  </si>
  <si>
    <t>Heat - €/y</t>
  </si>
  <si>
    <t>Revenues as waste treament - €/y</t>
  </si>
  <si>
    <t>Heat - €/MWh</t>
  </si>
  <si>
    <t>Revenue for treating the waste - €/t</t>
  </si>
  <si>
    <t>Total incomes €/y</t>
  </si>
  <si>
    <t>Loan</t>
  </si>
  <si>
    <t>Contribution to the loan - % investment</t>
  </si>
  <si>
    <t>SubTotal - €</t>
  </si>
  <si>
    <t>Share - %</t>
  </si>
  <si>
    <t>%</t>
  </si>
  <si>
    <t>Duration of loan - y</t>
  </si>
  <si>
    <t>Loan (without interest) - €/y</t>
  </si>
  <si>
    <t>Price of heat - €/MWhth</t>
  </si>
  <si>
    <t>Price of electricity - €/MWhe</t>
  </si>
  <si>
    <t>Total heat produced - MWh/y</t>
  </si>
  <si>
    <t>Summary</t>
  </si>
  <si>
    <t>€/y</t>
  </si>
  <si>
    <t>Total operationnal costs €/y</t>
  </si>
  <si>
    <r>
      <t xml:space="preserve">Sensibility of incomes vs Elec Price vs Heat Price - in </t>
    </r>
    <r>
      <rPr>
        <b/>
        <sz val="11"/>
        <color theme="9" tint="-0.249977111117893"/>
        <rFont val="Calibri"/>
        <family val="2"/>
        <scheme val="minor"/>
      </rPr>
      <t>green</t>
    </r>
    <r>
      <rPr>
        <b/>
        <sz val="11"/>
        <color theme="1"/>
        <rFont val="Calibri"/>
        <family val="2"/>
        <scheme val="minor"/>
      </rPr>
      <t>, when incomes exceeds operational costs</t>
    </r>
  </si>
  <si>
    <t>* depending on hypothesis of electricity, heat, and waste treatmen tariffs</t>
  </si>
  <si>
    <t>Context</t>
  </si>
  <si>
    <t>Total mass of identified waste/biomass - t</t>
  </si>
  <si>
    <t>Design of the valorization unit</t>
  </si>
  <si>
    <t xml:space="preserve">Inert et residues </t>
  </si>
  <si>
    <t>Inert removed during preparation phase (status as Waste) - t/y</t>
  </si>
  <si>
    <t>Total quantity of inert material - t/y</t>
  </si>
  <si>
    <t>Residues of gasification - t/y</t>
  </si>
  <si>
    <t>Quantities of fly ash (from cyclone or filters) - t /y</t>
  </si>
  <si>
    <t xml:space="preserve">Energy valorization </t>
  </si>
  <si>
    <t>Economical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</si>
</sst>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darkUp">
        <bgColor theme="0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4" borderId="1" xfId="0" applyNumberForma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3" fontId="0" fillId="3" borderId="0" xfId="0" applyNumberFormat="1" applyFill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0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4" fontId="0" fillId="11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2" fontId="0" fillId="3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right" vertical="center" wrapText="1"/>
    </xf>
    <xf numFmtId="3" fontId="0" fillId="0" borderId="0" xfId="0" applyNumberFormat="1" applyAlignment="1">
      <alignment horizontal="right" vertical="center" wrapText="1"/>
    </xf>
    <xf numFmtId="0" fontId="1" fillId="0" borderId="16" xfId="0" applyFont="1" applyBorder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4" fontId="0" fillId="0" borderId="0" xfId="0" applyNumberFormat="1" applyAlignment="1">
      <alignment horizontal="right" vertical="center" wrapText="1"/>
    </xf>
    <xf numFmtId="0" fontId="0" fillId="0" borderId="18" xfId="0" applyBorder="1" applyAlignment="1">
      <alignment horizontal="right" vertical="center" wrapText="1"/>
    </xf>
    <xf numFmtId="3" fontId="0" fillId="0" borderId="19" xfId="0" applyNumberFormat="1" applyBorder="1" applyAlignment="1">
      <alignment horizontal="right" vertical="center" wrapText="1"/>
    </xf>
    <xf numFmtId="0" fontId="0" fillId="0" borderId="20" xfId="0" applyBorder="1" applyAlignment="1">
      <alignment horizontal="left" vertical="center" wrapText="1"/>
    </xf>
    <xf numFmtId="3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4" fontId="0" fillId="0" borderId="19" xfId="0" applyNumberFormat="1" applyBorder="1" applyAlignment="1">
      <alignment horizontal="right" vertical="center" wrapText="1"/>
    </xf>
    <xf numFmtId="0" fontId="1" fillId="0" borderId="16" xfId="0" applyFont="1" applyBorder="1" applyAlignment="1">
      <alignment horizontal="center" vertical="center" wrapText="1"/>
    </xf>
    <xf numFmtId="3" fontId="0" fillId="0" borderId="18" xfId="0" applyNumberFormat="1" applyBorder="1" applyAlignment="1">
      <alignment horizontal="center" vertical="center" wrapText="1"/>
    </xf>
    <xf numFmtId="3" fontId="0" fillId="0" borderId="19" xfId="0" applyNumberForma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Installed power based on operation time (yearly),</a:t>
            </a:r>
            <a:r>
              <a:rPr lang="fr-FR" baseline="0"/>
              <a:t> to consume all the fuel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Calculation!$I$11</c:f>
              <c:strCache>
                <c:ptCount val="1"/>
                <c:pt idx="0">
                  <c:v>Electrical power output (at fuel quantities given, and for a time of operation) - kWe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Calculation!$H$12:$H$19</c:f>
              <c:numCache>
                <c:formatCode>General</c:formatCode>
                <c:ptCount val="8"/>
                <c:pt idx="0">
                  <c:v>8760</c:v>
                </c:pt>
                <c:pt idx="1">
                  <c:v>8000</c:v>
                </c:pt>
                <c:pt idx="2">
                  <c:v>7000</c:v>
                </c:pt>
                <c:pt idx="3">
                  <c:v>6000</c:v>
                </c:pt>
                <c:pt idx="4">
                  <c:v>5000</c:v>
                </c:pt>
                <c:pt idx="5">
                  <c:v>4380</c:v>
                </c:pt>
                <c:pt idx="6">
                  <c:v>3000</c:v>
                </c:pt>
                <c:pt idx="7">
                  <c:v>2500</c:v>
                </c:pt>
              </c:numCache>
            </c:numRef>
          </c:xVal>
          <c:yVal>
            <c:numRef>
              <c:f>Calculation!$I$12:$I$19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BA-4CAB-B356-FF88B714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630704"/>
        <c:axId val="409620536"/>
      </c:scatterChart>
      <c:scatterChart>
        <c:scatterStyle val="smoothMarker"/>
        <c:varyColors val="0"/>
        <c:ser>
          <c:idx val="1"/>
          <c:order val="1"/>
          <c:tx>
            <c:strRef>
              <c:f>Calculation!$J$11</c:f>
              <c:strCache>
                <c:ptCount val="1"/>
                <c:pt idx="0">
                  <c:v>Thermal power output (at fuel quantities given, and for a time of operation) - kWth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Calculation!$H$12:$H$19</c:f>
              <c:numCache>
                <c:formatCode>General</c:formatCode>
                <c:ptCount val="8"/>
                <c:pt idx="0">
                  <c:v>8760</c:v>
                </c:pt>
                <c:pt idx="1">
                  <c:v>8000</c:v>
                </c:pt>
                <c:pt idx="2">
                  <c:v>7000</c:v>
                </c:pt>
                <c:pt idx="3">
                  <c:v>6000</c:v>
                </c:pt>
                <c:pt idx="4">
                  <c:v>5000</c:v>
                </c:pt>
                <c:pt idx="5">
                  <c:v>4380</c:v>
                </c:pt>
                <c:pt idx="6">
                  <c:v>3000</c:v>
                </c:pt>
                <c:pt idx="7">
                  <c:v>2500</c:v>
                </c:pt>
              </c:numCache>
            </c:numRef>
          </c:xVal>
          <c:yVal>
            <c:numRef>
              <c:f>Calculation!$J$12:$J$19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BA-4CAB-B356-FF88B7140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910744"/>
        <c:axId val="409631032"/>
      </c:scatterChart>
      <c:valAx>
        <c:axId val="409630704"/>
        <c:scaling>
          <c:orientation val="minMax"/>
          <c:max val="9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Time of operation (yearly)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9620536"/>
        <c:crosses val="autoZero"/>
        <c:crossBetween val="midCat"/>
      </c:valAx>
      <c:valAx>
        <c:axId val="409620536"/>
        <c:scaling>
          <c:orientation val="minMax"/>
          <c:max val="2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chemeClr val="accent1"/>
                    </a:solidFill>
                  </a:rPr>
                  <a:t>Electrical Power output kWe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9630704"/>
        <c:crosses val="autoZero"/>
        <c:crossBetween val="midCat"/>
        <c:majorUnit val="25"/>
      </c:valAx>
      <c:valAx>
        <c:axId val="4096310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>
                    <a:solidFill>
                      <a:schemeClr val="accent2"/>
                    </a:solidFill>
                  </a:rPr>
                  <a:t>Thermal Power Output- kWth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1910744"/>
        <c:crosses val="max"/>
        <c:crossBetween val="midCat"/>
      </c:valAx>
      <c:valAx>
        <c:axId val="311910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9631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Fuel consumption </a:t>
            </a:r>
            <a:r>
              <a:rPr lang="fr-FR" baseline="0"/>
              <a:t>: Maximum and with the chosen operation rythm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Calculation!$H$50</c:f>
              <c:strCache>
                <c:ptCount val="1"/>
                <c:pt idx="0">
                  <c:v>Average fuel consumption based on the fuel quantity (non-stop working)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Calculation!$G$58:$G$60</c:f>
              <c:strCache>
                <c:ptCount val="3"/>
                <c:pt idx="0">
                  <c:v>kg/h</c:v>
                </c:pt>
                <c:pt idx="1">
                  <c:v>kg/d</c:v>
                </c:pt>
                <c:pt idx="2">
                  <c:v>kg/week</c:v>
                </c:pt>
              </c:strCache>
            </c:strRef>
          </c:cat>
          <c:val>
            <c:numRef>
              <c:f>Calculation!$I$51:$I$53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4-4234-86B8-7688808B72BA}"/>
            </c:ext>
          </c:extLst>
        </c:ser>
        <c:ser>
          <c:idx val="1"/>
          <c:order val="1"/>
          <c:tx>
            <c:strRef>
              <c:f>Calculation!$H$72</c:f>
              <c:strCache>
                <c:ptCount val="1"/>
                <c:pt idx="0">
                  <c:v>Fuel consumption - Chosen operation rythm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Calculation!$G$58:$G$60</c:f>
              <c:strCache>
                <c:ptCount val="3"/>
                <c:pt idx="0">
                  <c:v>kg/h</c:v>
                </c:pt>
                <c:pt idx="1">
                  <c:v>kg/d</c:v>
                </c:pt>
                <c:pt idx="2">
                  <c:v>kg/week</c:v>
                </c:pt>
              </c:strCache>
            </c:strRef>
          </c:cat>
          <c:val>
            <c:numRef>
              <c:f>Calculation!$I$73:$I$75</c:f>
              <c:numCache>
                <c:formatCode>#,##0</c:formatCode>
                <c:ptCount val="3"/>
                <c:pt idx="0">
                  <c:v>109.09090909090908</c:v>
                </c:pt>
                <c:pt idx="1">
                  <c:v>1745.4545454545453</c:v>
                </c:pt>
                <c:pt idx="2">
                  <c:v>10472.727272727272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4-4234-86B8-7688808B72BA}"/>
            </c:ext>
          </c:extLst>
        </c:ser>
        <c:ser>
          <c:idx val="0"/>
          <c:order val="2"/>
          <c:tx>
            <c:strRef>
              <c:f>Calculation!$H$57</c:f>
              <c:strCache>
                <c:ptCount val="1"/>
                <c:pt idx="0">
                  <c:v>Maximum fuel consumption with chosen unit - non-stop working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Calculation!$G$58:$G$60</c:f>
              <c:strCache>
                <c:ptCount val="3"/>
                <c:pt idx="0">
                  <c:v>kg/h</c:v>
                </c:pt>
                <c:pt idx="1">
                  <c:v>kg/d</c:v>
                </c:pt>
                <c:pt idx="2">
                  <c:v>kg/week</c:v>
                </c:pt>
              </c:strCache>
            </c:strRef>
          </c:cat>
          <c:val>
            <c:numRef>
              <c:f>Calculation!$I$58:$I$60</c:f>
              <c:numCache>
                <c:formatCode>#,##0</c:formatCode>
                <c:ptCount val="3"/>
                <c:pt idx="0">
                  <c:v>109.09090909090908</c:v>
                </c:pt>
                <c:pt idx="1">
                  <c:v>2618.181818181818</c:v>
                </c:pt>
                <c:pt idx="2">
                  <c:v>18327.272727272728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4-4234-86B8-7688808B72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7524872"/>
        <c:axId val="527529136"/>
      </c:barChart>
      <c:catAx>
        <c:axId val="527524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Different time scale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7529136"/>
        <c:crosses val="autoZero"/>
        <c:auto val="1"/>
        <c:lblAlgn val="ctr"/>
        <c:lblOffset val="100"/>
        <c:noMultiLvlLbl val="0"/>
      </c:catAx>
      <c:valAx>
        <c:axId val="52752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Fuel consumption</a:t>
                </a:r>
                <a:r>
                  <a:rPr lang="fr-FR" baseline="0"/>
                  <a:t> (unit below columns)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7524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21</xdr:row>
      <xdr:rowOff>71437</xdr:rowOff>
    </xdr:from>
    <xdr:to>
      <xdr:col>10</xdr:col>
      <xdr:colOff>28575</xdr:colOff>
      <xdr:row>42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09998E8-FFB8-4693-A921-CF2BC7EEF3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280146</xdr:colOff>
      <xdr:row>59</xdr:row>
      <xdr:rowOff>123266</xdr:rowOff>
    </xdr:from>
    <xdr:to>
      <xdr:col>16</xdr:col>
      <xdr:colOff>1680</xdr:colOff>
      <xdr:row>69</xdr:row>
      <xdr:rowOff>187699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7BE822D3-FCCE-462D-8AD5-5C3AB506CE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A1618-4E1F-4435-8146-EE5D92068160}">
  <dimension ref="B3:G13"/>
  <sheetViews>
    <sheetView workbookViewId="0">
      <selection activeCell="C4" sqref="C4:G13"/>
    </sheetView>
  </sheetViews>
  <sheetFormatPr baseColWidth="10" defaultRowHeight="15" x14ac:dyDescent="0.25"/>
  <cols>
    <col min="1" max="1" width="11.42578125" style="1"/>
    <col min="2" max="2" width="30.28515625" style="1" customWidth="1"/>
    <col min="3" max="21" width="25" style="1" customWidth="1"/>
    <col min="22" max="16384" width="11.42578125" style="1"/>
  </cols>
  <sheetData>
    <row r="3" spans="2:7" s="2" customFormat="1" ht="51" customHeight="1" x14ac:dyDescent="0.25">
      <c r="B3" s="18"/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</row>
    <row r="4" spans="2:7" x14ac:dyDescent="0.25">
      <c r="B4" s="15" t="s">
        <v>6</v>
      </c>
      <c r="C4" s="16"/>
      <c r="D4" s="17"/>
      <c r="E4" s="17"/>
      <c r="F4" s="17"/>
      <c r="G4" s="15"/>
    </row>
    <row r="5" spans="2:7" x14ac:dyDescent="0.25">
      <c r="B5" s="15" t="s">
        <v>7</v>
      </c>
      <c r="C5" s="16"/>
      <c r="D5" s="17"/>
      <c r="E5" s="17"/>
      <c r="F5" s="17"/>
      <c r="G5" s="15"/>
    </row>
    <row r="6" spans="2:7" x14ac:dyDescent="0.25">
      <c r="B6" s="15" t="s">
        <v>8</v>
      </c>
      <c r="C6" s="16"/>
      <c r="D6" s="17"/>
      <c r="E6" s="17"/>
      <c r="F6" s="17"/>
      <c r="G6" s="15"/>
    </row>
    <row r="7" spans="2:7" x14ac:dyDescent="0.25">
      <c r="B7" s="15" t="s">
        <v>9</v>
      </c>
      <c r="C7" s="16"/>
      <c r="D7" s="17"/>
      <c r="E7" s="17"/>
      <c r="F7" s="17"/>
      <c r="G7" s="15"/>
    </row>
    <row r="8" spans="2:7" x14ac:dyDescent="0.25">
      <c r="B8" s="15" t="s">
        <v>10</v>
      </c>
      <c r="C8" s="16"/>
      <c r="D8" s="17"/>
      <c r="E8" s="17"/>
      <c r="F8" s="17"/>
      <c r="G8" s="15"/>
    </row>
    <row r="9" spans="2:7" x14ac:dyDescent="0.25">
      <c r="B9" s="15" t="s">
        <v>11</v>
      </c>
      <c r="C9" s="16"/>
      <c r="D9" s="17"/>
      <c r="E9" s="17"/>
      <c r="F9" s="17"/>
      <c r="G9" s="15"/>
    </row>
    <row r="10" spans="2:7" x14ac:dyDescent="0.25">
      <c r="B10" s="15" t="s">
        <v>12</v>
      </c>
      <c r="C10" s="16"/>
      <c r="D10" s="17"/>
      <c r="E10" s="17"/>
      <c r="F10" s="17"/>
      <c r="G10" s="15"/>
    </row>
    <row r="11" spans="2:7" x14ac:dyDescent="0.25">
      <c r="B11" s="15" t="s">
        <v>13</v>
      </c>
      <c r="C11" s="16"/>
      <c r="D11" s="17"/>
      <c r="E11" s="17"/>
      <c r="F11" s="17"/>
      <c r="G11" s="15"/>
    </row>
    <row r="12" spans="2:7" x14ac:dyDescent="0.25">
      <c r="B12" s="15" t="s">
        <v>14</v>
      </c>
      <c r="C12" s="16"/>
      <c r="D12" s="17"/>
      <c r="E12" s="17"/>
      <c r="F12" s="17"/>
      <c r="G12" s="15"/>
    </row>
    <row r="13" spans="2:7" x14ac:dyDescent="0.25">
      <c r="B13" s="15" t="s">
        <v>15</v>
      </c>
      <c r="C13" s="16"/>
      <c r="D13" s="17"/>
      <c r="E13" s="17"/>
      <c r="F13" s="17"/>
      <c r="G13" s="15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E57C-C9F2-4D00-AEDD-47BF56DCDBC2}">
  <dimension ref="A2:AF163"/>
  <sheetViews>
    <sheetView topLeftCell="N79" zoomScale="70" zoomScaleNormal="70" workbookViewId="0">
      <selection activeCell="AD84" sqref="AD84"/>
    </sheetView>
  </sheetViews>
  <sheetFormatPr baseColWidth="10" defaultRowHeight="15" x14ac:dyDescent="0.25"/>
  <cols>
    <col min="1" max="1" width="11.42578125" style="2"/>
    <col min="2" max="2" width="21.7109375" style="2" customWidth="1"/>
    <col min="3" max="3" width="21" style="2" customWidth="1"/>
    <col min="4" max="4" width="17.85546875" style="2" customWidth="1"/>
    <col min="5" max="5" width="26.140625" style="2" customWidth="1"/>
    <col min="6" max="6" width="21" style="2" customWidth="1"/>
    <col min="7" max="7" width="6.28515625" style="2" customWidth="1"/>
    <col min="8" max="8" width="59.42578125" style="2" customWidth="1"/>
    <col min="9" max="9" width="33.140625" style="2" bestFit="1" customWidth="1"/>
    <col min="10" max="10" width="21.140625" style="2" customWidth="1"/>
    <col min="11" max="14" width="26.28515625" style="2" customWidth="1"/>
    <col min="15" max="19" width="11.42578125" style="2"/>
    <col min="20" max="20" width="33.5703125" style="2" customWidth="1"/>
    <col min="21" max="22" width="23.5703125" style="2" customWidth="1"/>
    <col min="23" max="23" width="14.42578125" style="2" customWidth="1"/>
    <col min="24" max="24" width="11.42578125" style="2"/>
    <col min="25" max="25" width="34" style="2" customWidth="1"/>
    <col min="26" max="27" width="20.85546875" style="2" customWidth="1"/>
    <col min="28" max="28" width="11.42578125" style="2"/>
    <col min="29" max="29" width="31.42578125" style="2" customWidth="1"/>
    <col min="30" max="31" width="22.42578125" style="2" customWidth="1"/>
    <col min="32" max="32" width="21" style="2" customWidth="1"/>
    <col min="33" max="16384" width="11.42578125" style="2"/>
  </cols>
  <sheetData>
    <row r="2" spans="1:30" ht="15" customHeight="1" x14ac:dyDescent="0.25">
      <c r="A2" s="97" t="s">
        <v>16</v>
      </c>
      <c r="B2" s="97"/>
      <c r="C2" s="97"/>
      <c r="D2" s="97"/>
      <c r="E2" s="97"/>
      <c r="F2" s="97"/>
      <c r="H2" s="97" t="s">
        <v>17</v>
      </c>
      <c r="I2" s="97"/>
      <c r="J2" s="97"/>
      <c r="K2" s="97"/>
      <c r="T2" s="97" t="s">
        <v>99</v>
      </c>
      <c r="U2" s="97"/>
      <c r="V2" s="97"/>
      <c r="W2" s="97"/>
      <c r="X2" s="97"/>
      <c r="Y2" s="97"/>
      <c r="Z2" s="97"/>
      <c r="AA2" s="97"/>
      <c r="AB2" s="97"/>
      <c r="AC2" s="97"/>
      <c r="AD2" s="97"/>
    </row>
    <row r="5" spans="1:30" ht="45" x14ac:dyDescent="0.25">
      <c r="C5" s="7" t="s">
        <v>92</v>
      </c>
      <c r="D5" s="7" t="s">
        <v>18</v>
      </c>
      <c r="E5" s="7" t="s">
        <v>19</v>
      </c>
      <c r="F5" s="7" t="s">
        <v>32</v>
      </c>
      <c r="U5" s="24" t="s">
        <v>95</v>
      </c>
      <c r="V5" s="20">
        <f>I45</f>
        <v>120</v>
      </c>
    </row>
    <row r="6" spans="1:30" x14ac:dyDescent="0.25">
      <c r="C6" s="11">
        <f>SUM(C12:C22)</f>
        <v>0</v>
      </c>
      <c r="D6" s="11">
        <f>SUM(D12:D1048576)</f>
        <v>0</v>
      </c>
      <c r="E6" s="11">
        <f>SUM(E12:E1048576)</f>
        <v>0</v>
      </c>
      <c r="F6" s="11">
        <f>SUM(F12:F1048576)</f>
        <v>0</v>
      </c>
      <c r="H6" s="39"/>
    </row>
    <row r="7" spans="1:30" ht="32.25" customHeight="1" x14ac:dyDescent="0.25">
      <c r="U7" s="110" t="s">
        <v>98</v>
      </c>
      <c r="V7" s="110"/>
      <c r="W7" s="110"/>
      <c r="X7" s="110"/>
      <c r="Y7" s="110"/>
      <c r="Z7" s="110"/>
      <c r="AA7" s="110"/>
      <c r="AB7" s="110"/>
    </row>
    <row r="8" spans="1:30" ht="41.25" x14ac:dyDescent="0.25">
      <c r="D8" s="8" t="s">
        <v>20</v>
      </c>
      <c r="E8" s="8" t="s">
        <v>21</v>
      </c>
      <c r="F8" s="8" t="s">
        <v>22</v>
      </c>
      <c r="U8" s="107" t="s">
        <v>101</v>
      </c>
      <c r="V8" s="107"/>
      <c r="W8" s="107"/>
      <c r="Z8" s="107" t="s">
        <v>102</v>
      </c>
      <c r="AA8" s="107"/>
      <c r="AB8" s="107"/>
    </row>
    <row r="9" spans="1:30" ht="21" x14ac:dyDescent="0.25">
      <c r="D9" s="9">
        <v>17</v>
      </c>
      <c r="E9" s="9">
        <v>1.1000000000000001</v>
      </c>
      <c r="F9" s="10">
        <v>0.8</v>
      </c>
      <c r="T9" s="48" t="s">
        <v>107</v>
      </c>
      <c r="Y9" s="48" t="s">
        <v>115</v>
      </c>
    </row>
    <row r="10" spans="1:30" x14ac:dyDescent="0.25">
      <c r="F10" s="6"/>
      <c r="U10" s="109" t="s">
        <v>103</v>
      </c>
      <c r="V10" s="109"/>
      <c r="W10" s="109"/>
      <c r="Y10" s="47" t="s">
        <v>116</v>
      </c>
    </row>
    <row r="11" spans="1:30" ht="60" x14ac:dyDescent="0.25">
      <c r="B11" s="4"/>
      <c r="C11" s="4" t="s">
        <v>88</v>
      </c>
      <c r="D11" s="4" t="s">
        <v>23</v>
      </c>
      <c r="E11" s="4" t="s">
        <v>24</v>
      </c>
      <c r="F11" s="4" t="s">
        <v>25</v>
      </c>
      <c r="H11" s="12" t="s">
        <v>26</v>
      </c>
      <c r="I11" s="12" t="s">
        <v>27</v>
      </c>
      <c r="J11" s="12" t="s">
        <v>31</v>
      </c>
      <c r="U11" s="18" t="s">
        <v>96</v>
      </c>
      <c r="V11" s="18" t="s">
        <v>97</v>
      </c>
      <c r="W11" s="18" t="s">
        <v>100</v>
      </c>
      <c r="Z11" s="109" t="s">
        <v>117</v>
      </c>
      <c r="AA11" s="109"/>
      <c r="AB11" s="109"/>
    </row>
    <row r="12" spans="1:30" ht="15" customHeight="1" x14ac:dyDescent="0.25">
      <c r="B12" s="3" t="str">
        <f>'Input waste-biomass'!B4</f>
        <v>Fuel 1</v>
      </c>
      <c r="C12" s="5">
        <f>('Input waste-biomass'!C4-'Input waste-biomass'!C4*'Input waste-biomass'!D4) - 'Input waste-biomass'!C4*'Input waste-biomass'!F4*(I137/100)</f>
        <v>0</v>
      </c>
      <c r="D12" s="5">
        <f>IF('Input waste-biomass'!G4=0,Calculation!C12*$D$9/3.6,Calculation!C12*'Input waste-biomass'!G4/3.6)</f>
        <v>0</v>
      </c>
      <c r="E12" s="5">
        <f>C12*$E$9</f>
        <v>0</v>
      </c>
      <c r="F12" s="5">
        <f>(D12-E12)*$F$9</f>
        <v>0</v>
      </c>
      <c r="H12" s="13">
        <v>8760</v>
      </c>
      <c r="I12" s="14">
        <f t="shared" ref="I12:I16" si="0">$E$6/H12*1000</f>
        <v>0</v>
      </c>
      <c r="J12" s="14">
        <f>$F$6/H12*1000</f>
        <v>0</v>
      </c>
      <c r="U12" s="18">
        <v>200</v>
      </c>
      <c r="V12" s="18">
        <v>300</v>
      </c>
      <c r="W12" s="49">
        <f>AVERAGE(U12:V12)</f>
        <v>250</v>
      </c>
      <c r="Z12" s="18" t="s">
        <v>96</v>
      </c>
      <c r="AA12" s="18" t="s">
        <v>97</v>
      </c>
      <c r="AB12" s="18" t="s">
        <v>100</v>
      </c>
    </row>
    <row r="13" spans="1:30" x14ac:dyDescent="0.25">
      <c r="B13" s="3" t="str">
        <f>'Input waste-biomass'!B5</f>
        <v>Fuel 2</v>
      </c>
      <c r="C13" s="5">
        <f>('Input waste-biomass'!C5-'Input waste-biomass'!C5*'Input waste-biomass'!D5) - 'Input waste-biomass'!C5*'Input waste-biomass'!F5*(I138/100)</f>
        <v>0</v>
      </c>
      <c r="D13" s="5">
        <f>IF('Input waste-biomass'!G5=0,Calculation!C13*$D$9/3.6,Calculation!C13*'Input waste-biomass'!G5/3.6)</f>
        <v>0</v>
      </c>
      <c r="E13" s="5">
        <f t="shared" ref="E13:E21" si="1">C13*$E$9</f>
        <v>0</v>
      </c>
      <c r="F13" s="5">
        <f t="shared" ref="F13:F21" si="2">(D13-E13)*$F$9</f>
        <v>0</v>
      </c>
      <c r="H13" s="13">
        <v>8000</v>
      </c>
      <c r="I13" s="14">
        <f t="shared" si="0"/>
        <v>0</v>
      </c>
      <c r="J13" s="14">
        <f t="shared" ref="J13:J17" si="3">$F$6/H13*1000</f>
        <v>0</v>
      </c>
      <c r="Z13" s="18">
        <v>2.5</v>
      </c>
      <c r="AA13" s="18">
        <v>3.5</v>
      </c>
      <c r="AB13" s="49">
        <f>AVERAGE(Z13:AA13)</f>
        <v>3</v>
      </c>
    </row>
    <row r="14" spans="1:30" x14ac:dyDescent="0.25">
      <c r="B14" s="3" t="str">
        <f>'Input waste-biomass'!B6</f>
        <v>Fuel 3</v>
      </c>
      <c r="C14" s="5">
        <f>('Input waste-biomass'!C6-'Input waste-biomass'!C6*'Input waste-biomass'!D6) - 'Input waste-biomass'!C6*'Input waste-biomass'!F6*(I139/100)</f>
        <v>0</v>
      </c>
      <c r="D14" s="5">
        <f>IF('Input waste-biomass'!G6=0,Calculation!C14*$D$9/3.6,Calculation!C14*'Input waste-biomass'!G6/3.6)</f>
        <v>0</v>
      </c>
      <c r="E14" s="5">
        <f t="shared" si="1"/>
        <v>0</v>
      </c>
      <c r="F14" s="5">
        <f t="shared" si="2"/>
        <v>0</v>
      </c>
      <c r="H14" s="13">
        <v>7000</v>
      </c>
      <c r="I14" s="14">
        <f t="shared" si="0"/>
        <v>0</v>
      </c>
      <c r="J14" s="14">
        <f t="shared" si="3"/>
        <v>0</v>
      </c>
      <c r="U14" s="109" t="s">
        <v>104</v>
      </c>
      <c r="V14" s="109"/>
      <c r="W14" s="109"/>
    </row>
    <row r="15" spans="1:30" x14ac:dyDescent="0.25">
      <c r="B15" s="3" t="str">
        <f>'Input waste-biomass'!B7</f>
        <v>Fuel 4</v>
      </c>
      <c r="C15" s="5">
        <f>('Input waste-biomass'!C7-'Input waste-biomass'!C7*'Input waste-biomass'!D7) - 'Input waste-biomass'!C7*'Input waste-biomass'!F7*(I140/100)</f>
        <v>0</v>
      </c>
      <c r="D15" s="5">
        <f>IF('Input waste-biomass'!G7=0,Calculation!C15*$D$9/3.6,Calculation!C15*'Input waste-biomass'!G7/3.6)</f>
        <v>0</v>
      </c>
      <c r="E15" s="5">
        <f t="shared" si="1"/>
        <v>0</v>
      </c>
      <c r="F15" s="5">
        <f t="shared" si="2"/>
        <v>0</v>
      </c>
      <c r="H15" s="13">
        <v>6000</v>
      </c>
      <c r="I15" s="14">
        <f t="shared" si="0"/>
        <v>0</v>
      </c>
      <c r="J15" s="14">
        <f t="shared" si="3"/>
        <v>0</v>
      </c>
      <c r="U15" s="18" t="s">
        <v>96</v>
      </c>
      <c r="V15" s="18" t="s">
        <v>97</v>
      </c>
      <c r="W15" s="18" t="s">
        <v>100</v>
      </c>
      <c r="Z15" s="109" t="s">
        <v>118</v>
      </c>
      <c r="AA15" s="109"/>
      <c r="AB15" s="109"/>
    </row>
    <row r="16" spans="1:30" x14ac:dyDescent="0.25">
      <c r="B16" s="3" t="str">
        <f>'Input waste-biomass'!B8</f>
        <v>Fuel 5</v>
      </c>
      <c r="C16" s="5">
        <f>('Input waste-biomass'!C8-'Input waste-biomass'!C8*'Input waste-biomass'!D8) - 'Input waste-biomass'!C8*'Input waste-biomass'!F8*(I141/100)</f>
        <v>0</v>
      </c>
      <c r="D16" s="5">
        <f>IF('Input waste-biomass'!G8=0,Calculation!C16*$D$9/3.6,Calculation!C16*'Input waste-biomass'!G8/3.6)</f>
        <v>0</v>
      </c>
      <c r="E16" s="5">
        <f t="shared" si="1"/>
        <v>0</v>
      </c>
      <c r="F16" s="5">
        <f t="shared" si="2"/>
        <v>0</v>
      </c>
      <c r="H16" s="13">
        <v>5000</v>
      </c>
      <c r="I16" s="14">
        <f t="shared" si="0"/>
        <v>0</v>
      </c>
      <c r="J16" s="14">
        <f t="shared" si="3"/>
        <v>0</v>
      </c>
      <c r="U16" s="18">
        <v>50000</v>
      </c>
      <c r="V16" s="18">
        <v>100000</v>
      </c>
      <c r="W16" s="49">
        <f>AVERAGE(U16:V16)</f>
        <v>75000</v>
      </c>
      <c r="Z16" s="18" t="s">
        <v>96</v>
      </c>
      <c r="AA16" s="18" t="s">
        <v>97</v>
      </c>
      <c r="AB16" s="18" t="s">
        <v>100</v>
      </c>
    </row>
    <row r="17" spans="2:30" x14ac:dyDescent="0.25">
      <c r="B17" s="3" t="str">
        <f>'Input waste-biomass'!B9</f>
        <v>Fuel 6</v>
      </c>
      <c r="C17" s="5">
        <f>('Input waste-biomass'!C9-'Input waste-biomass'!C9*'Input waste-biomass'!D9) - 'Input waste-biomass'!C9*'Input waste-biomass'!F9*(I142/100)</f>
        <v>0</v>
      </c>
      <c r="D17" s="5">
        <f>IF('Input waste-biomass'!G9=0,Calculation!C17*$D$9/3.6,Calculation!C17*'Input waste-biomass'!G9/3.6)</f>
        <v>0</v>
      </c>
      <c r="E17" s="5">
        <f t="shared" si="1"/>
        <v>0</v>
      </c>
      <c r="F17" s="5">
        <f t="shared" si="2"/>
        <v>0</v>
      </c>
      <c r="H17" s="13">
        <v>4380</v>
      </c>
      <c r="I17" s="14">
        <f>$E$6/H17*1000</f>
        <v>0</v>
      </c>
      <c r="J17" s="14">
        <f t="shared" si="3"/>
        <v>0</v>
      </c>
      <c r="Z17" s="18">
        <v>2</v>
      </c>
      <c r="AA17" s="18">
        <v>3.5</v>
      </c>
      <c r="AB17" s="49">
        <f>AVERAGE(Z17:AA17)</f>
        <v>2.75</v>
      </c>
    </row>
    <row r="18" spans="2:30" x14ac:dyDescent="0.25">
      <c r="B18" s="3" t="str">
        <f>'Input waste-biomass'!B10</f>
        <v>Fuel 7</v>
      </c>
      <c r="C18" s="5">
        <f>('Input waste-biomass'!C10-'Input waste-biomass'!C10*'Input waste-biomass'!D10) - 'Input waste-biomass'!C10*'Input waste-biomass'!F10*(I143/100)</f>
        <v>0</v>
      </c>
      <c r="D18" s="5">
        <f>IF('Input waste-biomass'!G10=0,Calculation!C18*$D$9/3.6,Calculation!C18*'Input waste-biomass'!G10/3.6)</f>
        <v>0</v>
      </c>
      <c r="E18" s="5">
        <f t="shared" si="1"/>
        <v>0</v>
      </c>
      <c r="F18" s="5">
        <f t="shared" si="2"/>
        <v>0</v>
      </c>
      <c r="H18" s="13">
        <v>3000</v>
      </c>
      <c r="I18" s="14">
        <f>$E$6/H18*1000</f>
        <v>0</v>
      </c>
      <c r="J18" s="14">
        <f t="shared" ref="J18:J19" si="4">$F$6/H18*1000</f>
        <v>0</v>
      </c>
      <c r="U18" s="109" t="s">
        <v>112</v>
      </c>
      <c r="V18" s="109"/>
      <c r="W18" s="109"/>
    </row>
    <row r="19" spans="2:30" x14ac:dyDescent="0.25">
      <c r="B19" s="3" t="str">
        <f>'Input waste-biomass'!B11</f>
        <v>Fuel 8</v>
      </c>
      <c r="C19" s="5">
        <f>('Input waste-biomass'!C11-'Input waste-biomass'!C11*'Input waste-biomass'!D11) - 'Input waste-biomass'!C11*'Input waste-biomass'!F11*(I144/100)</f>
        <v>0</v>
      </c>
      <c r="D19" s="5">
        <f>IF('Input waste-biomass'!G11=0,Calculation!C19*$D$9/3.6,Calculation!C19*'Input waste-biomass'!G11/3.6)</f>
        <v>0</v>
      </c>
      <c r="E19" s="5">
        <f t="shared" si="1"/>
        <v>0</v>
      </c>
      <c r="F19" s="5">
        <f t="shared" si="2"/>
        <v>0</v>
      </c>
      <c r="H19" s="13">
        <v>2500</v>
      </c>
      <c r="I19" s="14">
        <f t="shared" ref="I19" si="5">$E$6/H19*1000</f>
        <v>0</v>
      </c>
      <c r="J19" s="14">
        <f t="shared" si="4"/>
        <v>0</v>
      </c>
      <c r="U19" s="18" t="s">
        <v>96</v>
      </c>
      <c r="V19" s="18" t="s">
        <v>97</v>
      </c>
      <c r="W19" s="18" t="s">
        <v>100</v>
      </c>
      <c r="Z19" s="114" t="s">
        <v>121</v>
      </c>
      <c r="AA19" s="114"/>
      <c r="AB19" s="114"/>
    </row>
    <row r="20" spans="2:30" x14ac:dyDescent="0.25">
      <c r="B20" s="3" t="str">
        <f>'Input waste-biomass'!B12</f>
        <v>Fuel 9</v>
      </c>
      <c r="C20" s="5">
        <f>('Input waste-biomass'!C12-'Input waste-biomass'!C12*'Input waste-biomass'!D12) - 'Input waste-biomass'!C12*'Input waste-biomass'!F12*(I145/100)</f>
        <v>0</v>
      </c>
      <c r="D20" s="5">
        <f>IF('Input waste-biomass'!G12=0,Calculation!C20*$D$9/3.6,Calculation!C20*'Input waste-biomass'!G12/3.6)</f>
        <v>0</v>
      </c>
      <c r="E20" s="5">
        <f t="shared" si="1"/>
        <v>0</v>
      </c>
      <c r="F20" s="5">
        <f t="shared" si="2"/>
        <v>0</v>
      </c>
      <c r="U20" s="18">
        <v>50</v>
      </c>
      <c r="V20" s="18">
        <v>200</v>
      </c>
      <c r="W20" s="49">
        <f>AVERAGE(U20:V20)</f>
        <v>125</v>
      </c>
      <c r="Z20" s="9" t="s">
        <v>96</v>
      </c>
      <c r="AA20" s="9" t="s">
        <v>97</v>
      </c>
      <c r="AB20" s="9" t="s">
        <v>100</v>
      </c>
    </row>
    <row r="21" spans="2:30" ht="42" x14ac:dyDescent="0.25">
      <c r="B21" s="3" t="str">
        <f>'Input waste-biomass'!B13</f>
        <v>Fuel 10</v>
      </c>
      <c r="C21" s="5">
        <f>('Input waste-biomass'!C13-'Input waste-biomass'!C13*'Input waste-biomass'!D13) - 'Input waste-biomass'!C13*'Input waste-biomass'!F13*(I146/100)</f>
        <v>0</v>
      </c>
      <c r="D21" s="5">
        <f>IF('Input waste-biomass'!G13=0,Calculation!C21*$D$9/3.6,Calculation!C21*'Input waste-biomass'!G13/3.6)</f>
        <v>0</v>
      </c>
      <c r="E21" s="5">
        <f t="shared" si="1"/>
        <v>0</v>
      </c>
      <c r="F21" s="5">
        <f t="shared" si="2"/>
        <v>0</v>
      </c>
      <c r="T21" s="48" t="s">
        <v>106</v>
      </c>
      <c r="Z21" s="22">
        <v>10</v>
      </c>
      <c r="AA21" s="22">
        <v>20</v>
      </c>
      <c r="AB21" s="22">
        <f>AVERAGE(Z21:AA21)</f>
        <v>15</v>
      </c>
    </row>
    <row r="22" spans="2:30" x14ac:dyDescent="0.25">
      <c r="U22" s="114" t="s">
        <v>105</v>
      </c>
      <c r="V22" s="114"/>
      <c r="W22" s="114"/>
    </row>
    <row r="23" spans="2:30" x14ac:dyDescent="0.25">
      <c r="U23" s="9" t="s">
        <v>96</v>
      </c>
      <c r="V23" s="9" t="s">
        <v>97</v>
      </c>
      <c r="W23" s="9" t="s">
        <v>100</v>
      </c>
      <c r="Z23" s="114" t="s">
        <v>119</v>
      </c>
      <c r="AA23" s="114"/>
      <c r="AB23" s="114"/>
    </row>
    <row r="24" spans="2:30" x14ac:dyDescent="0.25">
      <c r="U24" s="22">
        <v>3500</v>
      </c>
      <c r="V24" s="22">
        <v>6500</v>
      </c>
      <c r="W24" s="22">
        <f>AVERAGE(U24:V24)</f>
        <v>5000</v>
      </c>
      <c r="Z24" s="9" t="s">
        <v>96</v>
      </c>
      <c r="AA24" s="9" t="s">
        <v>97</v>
      </c>
      <c r="AB24" s="9" t="s">
        <v>100</v>
      </c>
    </row>
    <row r="25" spans="2:30" x14ac:dyDescent="0.25">
      <c r="Z25" s="22">
        <v>15</v>
      </c>
      <c r="AA25" s="22">
        <v>25</v>
      </c>
      <c r="AB25" s="22">
        <f>AVERAGE(Z25:AA25)</f>
        <v>20</v>
      </c>
    </row>
    <row r="26" spans="2:30" x14ac:dyDescent="0.25">
      <c r="U26" s="114" t="s">
        <v>120</v>
      </c>
      <c r="V26" s="114"/>
      <c r="W26" s="114"/>
    </row>
    <row r="27" spans="2:30" x14ac:dyDescent="0.25">
      <c r="U27" s="9" t="s">
        <v>96</v>
      </c>
      <c r="V27" s="9" t="s">
        <v>97</v>
      </c>
      <c r="W27" s="9" t="s">
        <v>100</v>
      </c>
      <c r="Z27" s="114" t="s">
        <v>122</v>
      </c>
      <c r="AA27" s="114"/>
      <c r="AB27" s="114"/>
    </row>
    <row r="28" spans="2:30" x14ac:dyDescent="0.25">
      <c r="U28" s="22">
        <v>3500</v>
      </c>
      <c r="V28" s="22">
        <v>6500</v>
      </c>
      <c r="W28" s="22">
        <f>AVERAGE(U28:V28)</f>
        <v>5000</v>
      </c>
      <c r="Z28" s="9" t="s">
        <v>96</v>
      </c>
      <c r="AA28" s="9" t="s">
        <v>97</v>
      </c>
      <c r="AB28" s="9" t="s">
        <v>100</v>
      </c>
    </row>
    <row r="29" spans="2:30" x14ac:dyDescent="0.25">
      <c r="Z29" s="22">
        <v>5</v>
      </c>
      <c r="AA29" s="22">
        <v>15</v>
      </c>
      <c r="AB29" s="22">
        <f>AVERAGE(Z29:AA29)</f>
        <v>10</v>
      </c>
    </row>
    <row r="30" spans="2:30" x14ac:dyDescent="0.25">
      <c r="U30" s="114" t="s">
        <v>108</v>
      </c>
      <c r="V30" s="114"/>
      <c r="W30" s="114"/>
    </row>
    <row r="31" spans="2:30" x14ac:dyDescent="0.25">
      <c r="U31" s="9" t="s">
        <v>96</v>
      </c>
      <c r="V31" s="9" t="s">
        <v>97</v>
      </c>
      <c r="W31" s="9" t="s">
        <v>100</v>
      </c>
      <c r="Y31" s="47" t="s">
        <v>123</v>
      </c>
    </row>
    <row r="32" spans="2:30" ht="35.25" customHeight="1" x14ac:dyDescent="0.25">
      <c r="U32" s="22">
        <v>3000</v>
      </c>
      <c r="V32" s="22">
        <v>4000</v>
      </c>
      <c r="W32" s="22">
        <f>AVERAGE(U32:V32)</f>
        <v>3500</v>
      </c>
      <c r="Z32" s="109" t="s">
        <v>124</v>
      </c>
      <c r="AA32" s="109"/>
      <c r="AB32" s="109"/>
      <c r="AD32" s="51" t="s">
        <v>150</v>
      </c>
    </row>
    <row r="33" spans="8:32" x14ac:dyDescent="0.25">
      <c r="Z33" s="18" t="s">
        <v>96</v>
      </c>
      <c r="AA33" s="18" t="s">
        <v>97</v>
      </c>
      <c r="AB33" s="18" t="s">
        <v>100</v>
      </c>
      <c r="AD33" s="18">
        <f>151*12</f>
        <v>1812</v>
      </c>
    </row>
    <row r="34" spans="8:32" x14ac:dyDescent="0.25">
      <c r="Z34" s="18">
        <v>35000</v>
      </c>
      <c r="AA34" s="18">
        <v>45000</v>
      </c>
      <c r="AB34" s="49">
        <f>AVERAGE(Z34:AA34)</f>
        <v>40000</v>
      </c>
    </row>
    <row r="35" spans="8:32" ht="42" x14ac:dyDescent="0.25">
      <c r="T35" s="48" t="s">
        <v>109</v>
      </c>
    </row>
    <row r="36" spans="8:32" x14ac:dyDescent="0.25">
      <c r="U36" s="109" t="s">
        <v>113</v>
      </c>
      <c r="V36" s="109"/>
      <c r="W36" s="109"/>
      <c r="Y36" s="47" t="s">
        <v>125</v>
      </c>
    </row>
    <row r="37" spans="8:32" x14ac:dyDescent="0.25">
      <c r="U37" s="18" t="s">
        <v>96</v>
      </c>
      <c r="V37" s="18" t="s">
        <v>97</v>
      </c>
      <c r="W37" s="18" t="s">
        <v>100</v>
      </c>
      <c r="Z37" s="109" t="s">
        <v>126</v>
      </c>
      <c r="AA37" s="109"/>
      <c r="AB37" s="109"/>
    </row>
    <row r="38" spans="8:32" x14ac:dyDescent="0.25">
      <c r="U38" s="18">
        <v>2.5</v>
      </c>
      <c r="V38" s="18">
        <v>3.5</v>
      </c>
      <c r="W38" s="49">
        <f>AVERAGE(U38:V38)</f>
        <v>3</v>
      </c>
      <c r="Z38" s="18" t="s">
        <v>96</v>
      </c>
      <c r="AA38" s="18" t="s">
        <v>97</v>
      </c>
      <c r="AB38" s="18" t="s">
        <v>100</v>
      </c>
    </row>
    <row r="39" spans="8:32" x14ac:dyDescent="0.25">
      <c r="Z39" s="18">
        <v>0.5</v>
      </c>
      <c r="AA39" s="18">
        <v>1</v>
      </c>
      <c r="AB39" s="50">
        <f>AVERAGE(Z39:AA39)</f>
        <v>0.75</v>
      </c>
    </row>
    <row r="40" spans="8:32" x14ac:dyDescent="0.25">
      <c r="U40" s="109" t="s">
        <v>110</v>
      </c>
      <c r="V40" s="109"/>
      <c r="W40" s="109"/>
    </row>
    <row r="41" spans="8:32" x14ac:dyDescent="0.25">
      <c r="U41" s="18" t="s">
        <v>96</v>
      </c>
      <c r="V41" s="18" t="s">
        <v>97</v>
      </c>
      <c r="W41" s="18" t="s">
        <v>100</v>
      </c>
    </row>
    <row r="42" spans="8:32" ht="21" x14ac:dyDescent="0.25">
      <c r="U42" s="18">
        <v>1000</v>
      </c>
      <c r="V42" s="18">
        <v>2000</v>
      </c>
      <c r="W42" s="49">
        <f>AVERAGE(U42:V42)</f>
        <v>1500</v>
      </c>
      <c r="Y42" s="48" t="s">
        <v>127</v>
      </c>
    </row>
    <row r="43" spans="8:32" x14ac:dyDescent="0.25">
      <c r="Y43" s="2" t="s">
        <v>84</v>
      </c>
    </row>
    <row r="44" spans="8:32" x14ac:dyDescent="0.25">
      <c r="U44" s="109" t="s">
        <v>114</v>
      </c>
      <c r="V44" s="109"/>
      <c r="W44" s="109"/>
      <c r="Z44" s="109" t="s">
        <v>128</v>
      </c>
      <c r="AA44" s="109"/>
      <c r="AB44" s="109"/>
    </row>
    <row r="45" spans="8:32" ht="30" x14ac:dyDescent="0.25">
      <c r="H45" s="20" t="s">
        <v>28</v>
      </c>
      <c r="I45" s="20">
        <v>120</v>
      </c>
      <c r="K45" s="23" t="s">
        <v>170</v>
      </c>
      <c r="U45" s="18" t="s">
        <v>96</v>
      </c>
      <c r="V45" s="18" t="s">
        <v>97</v>
      </c>
      <c r="W45" s="18" t="s">
        <v>100</v>
      </c>
      <c r="Z45" s="18" t="s">
        <v>96</v>
      </c>
      <c r="AA45" s="18" t="s">
        <v>97</v>
      </c>
      <c r="AB45" s="18" t="s">
        <v>100</v>
      </c>
    </row>
    <row r="46" spans="8:32" ht="45" customHeight="1" x14ac:dyDescent="0.25">
      <c r="H46" s="13" t="s">
        <v>145</v>
      </c>
      <c r="I46" s="14">
        <f>IF(I47&lt;8760,I45*I47/1000,8760*I45/1000)</f>
        <v>0</v>
      </c>
      <c r="K46" s="11">
        <f>IF(I47&lt;8760,F6,F6*8760/I47)</f>
        <v>0</v>
      </c>
      <c r="U46" s="18">
        <v>10000</v>
      </c>
      <c r="V46" s="18">
        <v>10000</v>
      </c>
      <c r="W46" s="49">
        <f>AVERAGE(U46:V46)</f>
        <v>10000</v>
      </c>
      <c r="Z46" s="18">
        <v>0</v>
      </c>
      <c r="AA46" s="18">
        <v>0</v>
      </c>
      <c r="AB46" s="50">
        <f>AVERAGE(Z46:AA46)</f>
        <v>0</v>
      </c>
    </row>
    <row r="47" spans="8:32" x14ac:dyDescent="0.25">
      <c r="H47" s="23" t="s">
        <v>29</v>
      </c>
      <c r="I47" s="11">
        <f>E6*1000/I45</f>
        <v>0</v>
      </c>
      <c r="J47" s="40"/>
      <c r="Y47" s="2" t="s">
        <v>129</v>
      </c>
    </row>
    <row r="48" spans="8:32" ht="33.75" customHeight="1" x14ac:dyDescent="0.25">
      <c r="H48" s="23" t="s">
        <v>30</v>
      </c>
      <c r="I48" s="27" t="e">
        <f>F6*1000/I47</f>
        <v>#DIV/0!</v>
      </c>
      <c r="U48" s="109" t="s">
        <v>111</v>
      </c>
      <c r="V48" s="109"/>
      <c r="W48" s="109"/>
      <c r="Z48" s="109" t="s">
        <v>130</v>
      </c>
      <c r="AA48" s="109"/>
      <c r="AB48" s="109"/>
      <c r="AD48" s="109" t="s">
        <v>158</v>
      </c>
      <c r="AE48" s="109"/>
      <c r="AF48" s="109"/>
    </row>
    <row r="49" spans="6:32" ht="33.75" customHeight="1" x14ac:dyDescent="0.25">
      <c r="I49" s="21"/>
      <c r="U49" s="18" t="s">
        <v>96</v>
      </c>
      <c r="V49" s="18" t="s">
        <v>97</v>
      </c>
      <c r="W49" s="18" t="s">
        <v>100</v>
      </c>
      <c r="Z49" s="18" t="s">
        <v>96</v>
      </c>
      <c r="AA49" s="18" t="s">
        <v>97</v>
      </c>
      <c r="AB49" s="18" t="s">
        <v>100</v>
      </c>
      <c r="AD49" s="18" t="s">
        <v>96</v>
      </c>
      <c r="AE49" s="18" t="s">
        <v>97</v>
      </c>
      <c r="AF49" s="18" t="s">
        <v>100</v>
      </c>
    </row>
    <row r="50" spans="6:32" ht="33.75" customHeight="1" x14ac:dyDescent="0.25">
      <c r="G50" s="26"/>
      <c r="H50" s="111" t="s">
        <v>33</v>
      </c>
      <c r="I50" s="111"/>
      <c r="J50" s="112" t="s">
        <v>44</v>
      </c>
      <c r="K50" s="113"/>
      <c r="L50" s="113"/>
      <c r="M50" s="113"/>
      <c r="U50" s="18">
        <v>5</v>
      </c>
      <c r="V50" s="18">
        <v>10</v>
      </c>
      <c r="W50" s="49">
        <f>AVERAGE(U50:V50)</f>
        <v>7.5</v>
      </c>
      <c r="Z50" s="18">
        <v>150</v>
      </c>
      <c r="AA50" s="18">
        <v>300</v>
      </c>
      <c r="AB50" s="50">
        <f>AVERAGE(Z50:AA50)</f>
        <v>225</v>
      </c>
      <c r="AD50" s="18">
        <v>70</v>
      </c>
      <c r="AE50" s="18">
        <v>200</v>
      </c>
      <c r="AF50" s="50">
        <f>AVERAGE(AD50:AE50)</f>
        <v>135</v>
      </c>
    </row>
    <row r="51" spans="6:32" ht="30" x14ac:dyDescent="0.25">
      <c r="H51" s="23" t="s">
        <v>0</v>
      </c>
      <c r="I51" s="11">
        <f>C6*1000/H12</f>
        <v>0</v>
      </c>
      <c r="J51" s="35" t="s">
        <v>37</v>
      </c>
      <c r="K51" s="34" t="s">
        <v>38</v>
      </c>
      <c r="L51" s="34" t="s">
        <v>39</v>
      </c>
      <c r="M51" s="34" t="s">
        <v>40</v>
      </c>
    </row>
    <row r="52" spans="6:32" x14ac:dyDescent="0.25">
      <c r="H52" s="23" t="s">
        <v>34</v>
      </c>
      <c r="I52" s="11">
        <f>C6*1000/365</f>
        <v>0</v>
      </c>
      <c r="J52" s="33" t="s">
        <v>41</v>
      </c>
      <c r="K52" s="38">
        <v>24</v>
      </c>
      <c r="L52" s="32">
        <f>IF(I47&gt;=8760,"unité sous-dimensionnée, gisement trop important",I47/(L54*L53))</f>
        <v>0</v>
      </c>
      <c r="M52" s="38">
        <v>16</v>
      </c>
      <c r="Y52" s="2" t="s">
        <v>131</v>
      </c>
    </row>
    <row r="53" spans="6:32" x14ac:dyDescent="0.25">
      <c r="H53" s="23" t="s">
        <v>35</v>
      </c>
      <c r="I53" s="11">
        <f>C6*1000/52</f>
        <v>0</v>
      </c>
      <c r="J53" s="34" t="s">
        <v>42</v>
      </c>
      <c r="K53" s="38">
        <v>7</v>
      </c>
      <c r="L53" s="38">
        <v>5</v>
      </c>
      <c r="M53" s="32">
        <f>IF(I47&gt;=8760,"unité sous-dimensionnée, gisement trop important",I47/(M54*M52))</f>
        <v>0</v>
      </c>
      <c r="Z53" s="109" t="s">
        <v>132</v>
      </c>
      <c r="AA53" s="109"/>
      <c r="AB53" s="109"/>
      <c r="AD53" s="109" t="s">
        <v>159</v>
      </c>
      <c r="AE53" s="109"/>
      <c r="AF53" s="109"/>
    </row>
    <row r="54" spans="6:32" x14ac:dyDescent="0.25">
      <c r="H54" s="23" t="s">
        <v>36</v>
      </c>
      <c r="I54" s="11">
        <f>C6*1000/12</f>
        <v>0</v>
      </c>
      <c r="J54" s="34" t="s">
        <v>43</v>
      </c>
      <c r="K54" s="32">
        <f>IF(I47&gt;=8760,"unité sous-dimensionnée, gisement trop important",I47/(K52*K53))</f>
        <v>0</v>
      </c>
      <c r="L54" s="38">
        <v>52</v>
      </c>
      <c r="M54" s="38">
        <v>52</v>
      </c>
      <c r="Z54" s="18" t="s">
        <v>96</v>
      </c>
      <c r="AA54" s="18" t="s">
        <v>97</v>
      </c>
      <c r="AB54" s="18" t="s">
        <v>100</v>
      </c>
      <c r="AD54" s="18" t="s">
        <v>96</v>
      </c>
      <c r="AE54" s="18" t="s">
        <v>97</v>
      </c>
      <c r="AF54" s="18" t="s">
        <v>100</v>
      </c>
    </row>
    <row r="55" spans="6:32" x14ac:dyDescent="0.25">
      <c r="I55" s="21"/>
      <c r="Z55" s="18">
        <v>200</v>
      </c>
      <c r="AA55" s="18">
        <v>500</v>
      </c>
      <c r="AB55" s="50">
        <f>AVERAGE(Z55:AA55)</f>
        <v>350</v>
      </c>
      <c r="AD55" s="18">
        <v>10</v>
      </c>
      <c r="AE55" s="18">
        <v>50</v>
      </c>
      <c r="AF55" s="50">
        <f>AVERAGE(AD55:AE55)</f>
        <v>30</v>
      </c>
    </row>
    <row r="57" spans="6:32" ht="30" customHeight="1" x14ac:dyDescent="0.25">
      <c r="G57" s="31"/>
      <c r="H57" s="111" t="s">
        <v>45</v>
      </c>
      <c r="I57" s="111"/>
    </row>
    <row r="58" spans="6:32" ht="28.5" x14ac:dyDescent="0.25">
      <c r="G58" s="2" t="s">
        <v>0</v>
      </c>
      <c r="H58" s="23" t="s">
        <v>0</v>
      </c>
      <c r="I58" s="11">
        <f>I45/$E$9</f>
        <v>109.09090909090908</v>
      </c>
      <c r="U58" s="110" t="s">
        <v>133</v>
      </c>
      <c r="V58" s="110"/>
      <c r="W58" s="110"/>
      <c r="X58" s="110"/>
      <c r="Y58" s="110"/>
      <c r="Z58" s="110"/>
      <c r="AA58" s="110"/>
      <c r="AB58" s="110"/>
    </row>
    <row r="59" spans="6:32" ht="21" x14ac:dyDescent="0.25">
      <c r="G59" s="2" t="s">
        <v>46</v>
      </c>
      <c r="H59" s="23" t="s">
        <v>34</v>
      </c>
      <c r="I59" s="11">
        <f>I58*24</f>
        <v>2618.181818181818</v>
      </c>
      <c r="U59" s="107" t="s">
        <v>101</v>
      </c>
      <c r="V59" s="107"/>
      <c r="W59" s="107"/>
      <c r="Z59" s="107" t="s">
        <v>102</v>
      </c>
      <c r="AA59" s="107"/>
      <c r="AB59" s="107"/>
      <c r="AD59" s="52" t="s">
        <v>163</v>
      </c>
      <c r="AE59" s="52" t="s">
        <v>164</v>
      </c>
    </row>
    <row r="60" spans="6:32" ht="30" x14ac:dyDescent="0.25">
      <c r="G60" s="2" t="s">
        <v>47</v>
      </c>
      <c r="H60" s="23" t="s">
        <v>35</v>
      </c>
      <c r="I60" s="11">
        <f>I59*7</f>
        <v>18327.272727272728</v>
      </c>
      <c r="T60" s="48" t="s">
        <v>107</v>
      </c>
      <c r="Y60" s="48" t="s">
        <v>115</v>
      </c>
      <c r="AC60" s="48" t="s">
        <v>115</v>
      </c>
      <c r="AD60" s="58">
        <f>Y62+Y83+Y88</f>
        <v>68000</v>
      </c>
      <c r="AE60" s="61">
        <f>AD60/AB125*100</f>
        <v>45.63758389261745</v>
      </c>
    </row>
    <row r="61" spans="6:32" ht="30" x14ac:dyDescent="0.25">
      <c r="G61" s="2" t="s">
        <v>48</v>
      </c>
      <c r="H61" s="23" t="s">
        <v>36</v>
      </c>
      <c r="I61" s="11">
        <f>I59*30</f>
        <v>78545.454545454544</v>
      </c>
      <c r="S61" s="2" t="s">
        <v>143</v>
      </c>
      <c r="T61" s="39">
        <f>SUM(W63,W67,W71)</f>
        <v>75000</v>
      </c>
      <c r="U61" s="108" t="s">
        <v>134</v>
      </c>
      <c r="V61" s="108"/>
      <c r="W61" s="108"/>
      <c r="Y61" s="47" t="s">
        <v>116</v>
      </c>
    </row>
    <row r="62" spans="6:32" ht="15" customHeight="1" x14ac:dyDescent="0.25">
      <c r="S62" s="2" t="s">
        <v>144</v>
      </c>
      <c r="T62" s="2">
        <f>ROUND(T61/$W$107*100,1)</f>
        <v>3.7</v>
      </c>
      <c r="U62" s="23" t="s">
        <v>96</v>
      </c>
      <c r="V62" s="23" t="s">
        <v>97</v>
      </c>
      <c r="W62" s="23" t="s">
        <v>100</v>
      </c>
      <c r="X62" s="62" t="s">
        <v>143</v>
      </c>
      <c r="Y62" s="39">
        <f>AB64+AB68+AB72+AB76+AB80</f>
        <v>19000</v>
      </c>
      <c r="Z62" s="108" t="s">
        <v>141</v>
      </c>
      <c r="AA62" s="108"/>
      <c r="AB62" s="108"/>
    </row>
    <row r="63" spans="6:32" ht="15" customHeight="1" x14ac:dyDescent="0.25">
      <c r="U63" s="11">
        <f>ROUND($I$102*U12,-3)</f>
        <v>0</v>
      </c>
      <c r="V63" s="11">
        <f t="shared" ref="V63:W63" si="6">ROUND($I$102*V12,-3)</f>
        <v>0</v>
      </c>
      <c r="W63" s="11">
        <f t="shared" si="6"/>
        <v>0</v>
      </c>
      <c r="X63" s="62" t="s">
        <v>165</v>
      </c>
      <c r="Y63" s="60">
        <f>Y62/$AB$125*100</f>
        <v>12.751677852348994</v>
      </c>
      <c r="Z63" s="23" t="s">
        <v>96</v>
      </c>
      <c r="AA63" s="23" t="s">
        <v>97</v>
      </c>
      <c r="AB63" s="23" t="s">
        <v>100</v>
      </c>
    </row>
    <row r="64" spans="6:32" ht="60" customHeight="1" x14ac:dyDescent="0.25">
      <c r="F64" s="29" t="s">
        <v>49</v>
      </c>
      <c r="H64" s="18" t="s">
        <v>50</v>
      </c>
      <c r="I64" s="28">
        <v>16</v>
      </c>
      <c r="Z64" s="11">
        <f>ROUND($W$71*Z13/100,-3)</f>
        <v>2000</v>
      </c>
      <c r="AA64" s="11">
        <f t="shared" ref="AA64:AB64" si="7">ROUND($W$71*AA13/100,-3)</f>
        <v>3000</v>
      </c>
      <c r="AB64" s="11">
        <f t="shared" si="7"/>
        <v>2000</v>
      </c>
    </row>
    <row r="65" spans="6:28" x14ac:dyDescent="0.25">
      <c r="F65" s="30">
        <f>E6*1000/(I64*I65*I66)</f>
        <v>0</v>
      </c>
      <c r="H65" s="18" t="s">
        <v>51</v>
      </c>
      <c r="I65" s="18">
        <v>6</v>
      </c>
      <c r="U65" s="108" t="s">
        <v>135</v>
      </c>
      <c r="V65" s="108"/>
      <c r="W65" s="108"/>
    </row>
    <row r="66" spans="6:28" ht="15" customHeight="1" x14ac:dyDescent="0.25">
      <c r="H66" s="18" t="s">
        <v>52</v>
      </c>
      <c r="I66" s="18">
        <v>40</v>
      </c>
      <c r="U66" s="23" t="s">
        <v>96</v>
      </c>
      <c r="V66" s="23" t="s">
        <v>97</v>
      </c>
      <c r="W66" s="23" t="s">
        <v>100</v>
      </c>
      <c r="Z66" s="108" t="s">
        <v>142</v>
      </c>
      <c r="AA66" s="108"/>
      <c r="AB66" s="108"/>
    </row>
    <row r="67" spans="6:28" ht="15" customHeight="1" x14ac:dyDescent="0.25">
      <c r="U67" s="11">
        <f>ROUND($I$103*U12,-3)</f>
        <v>0</v>
      </c>
      <c r="V67" s="11">
        <f t="shared" ref="V67:W67" si="8">ROUND($I$103*V12,-3)</f>
        <v>0</v>
      </c>
      <c r="W67" s="11">
        <f t="shared" si="8"/>
        <v>0</v>
      </c>
      <c r="Z67" s="23" t="s">
        <v>96</v>
      </c>
      <c r="AA67" s="23" t="s">
        <v>97</v>
      </c>
      <c r="AB67" s="23" t="s">
        <v>100</v>
      </c>
    </row>
    <row r="68" spans="6:28" ht="30" x14ac:dyDescent="0.25">
      <c r="H68" s="41" t="s">
        <v>53</v>
      </c>
      <c r="I68" s="42">
        <f>I47/365</f>
        <v>0</v>
      </c>
      <c r="Z68" s="11">
        <f>ROUND($W$76*Z17/100,-3)</f>
        <v>12000</v>
      </c>
      <c r="AA68" s="11">
        <f t="shared" ref="AA68:AB68" si="9">ROUND($W$76*AA17/100,-3)</f>
        <v>21000</v>
      </c>
      <c r="AB68" s="11">
        <f t="shared" si="9"/>
        <v>17000</v>
      </c>
    </row>
    <row r="69" spans="6:28" ht="15" customHeight="1" x14ac:dyDescent="0.25">
      <c r="U69" s="108" t="s">
        <v>104</v>
      </c>
      <c r="V69" s="108"/>
      <c r="W69" s="108"/>
    </row>
    <row r="70" spans="6:28" ht="15" customHeight="1" x14ac:dyDescent="0.25">
      <c r="H70" s="2" t="s">
        <v>149</v>
      </c>
      <c r="I70" s="2">
        <f>I66*I65*I64</f>
        <v>3840</v>
      </c>
      <c r="U70" s="23" t="s">
        <v>96</v>
      </c>
      <c r="V70" s="23" t="s">
        <v>97</v>
      </c>
      <c r="W70" s="23" t="s">
        <v>100</v>
      </c>
      <c r="Z70" s="108" t="s">
        <v>146</v>
      </c>
      <c r="AA70" s="108"/>
      <c r="AB70" s="108"/>
    </row>
    <row r="71" spans="6:28" ht="15" customHeight="1" x14ac:dyDescent="0.25">
      <c r="U71" s="11">
        <f>U16</f>
        <v>50000</v>
      </c>
      <c r="V71" s="11">
        <f t="shared" ref="V71:W71" si="10">V16</f>
        <v>100000</v>
      </c>
      <c r="W71" s="11">
        <f t="shared" si="10"/>
        <v>75000</v>
      </c>
      <c r="Z71" s="23" t="s">
        <v>96</v>
      </c>
      <c r="AA71" s="23" t="s">
        <v>97</v>
      </c>
      <c r="AB71" s="23" t="s">
        <v>100</v>
      </c>
    </row>
    <row r="72" spans="6:28" ht="28.5" customHeight="1" x14ac:dyDescent="0.25">
      <c r="G72" s="25"/>
      <c r="H72" s="111" t="s">
        <v>54</v>
      </c>
      <c r="I72" s="111"/>
      <c r="Z72" s="11">
        <f>ROUND($I$46*Z21,-3)</f>
        <v>0</v>
      </c>
      <c r="AA72" s="11">
        <f t="shared" ref="AA72:AB72" si="11">ROUND($I$46*AA21,-3)</f>
        <v>0</v>
      </c>
      <c r="AB72" s="11">
        <f t="shared" si="11"/>
        <v>0</v>
      </c>
    </row>
    <row r="73" spans="6:28" ht="40.5" customHeight="1" x14ac:dyDescent="0.25">
      <c r="H73" s="23" t="s">
        <v>0</v>
      </c>
      <c r="I73" s="11">
        <f>I45/$E$9</f>
        <v>109.09090909090908</v>
      </c>
      <c r="T73" s="48" t="s">
        <v>106</v>
      </c>
    </row>
    <row r="74" spans="6:28" ht="15" customHeight="1" x14ac:dyDescent="0.25">
      <c r="H74" s="23" t="s">
        <v>55</v>
      </c>
      <c r="I74" s="11">
        <f>IF($I$64&lt;=24,I73*$I$64,"nombre supérieur à 24 !")</f>
        <v>1745.4545454545453</v>
      </c>
      <c r="S74" s="2" t="s">
        <v>143</v>
      </c>
      <c r="T74" s="39">
        <f>SUM(W76,W80,W84)</f>
        <v>1620000</v>
      </c>
      <c r="U74" s="108" t="s">
        <v>105</v>
      </c>
      <c r="V74" s="108"/>
      <c r="W74" s="108"/>
      <c r="Z74" s="108" t="s">
        <v>147</v>
      </c>
      <c r="AA74" s="108"/>
      <c r="AB74" s="108"/>
    </row>
    <row r="75" spans="6:28" ht="15" customHeight="1" x14ac:dyDescent="0.25">
      <c r="H75" s="23" t="s">
        <v>56</v>
      </c>
      <c r="I75" s="11">
        <f>IF($I$65&lt;=7,I74*$I$65,"nombre supérieur à 7 !")</f>
        <v>10472.727272727272</v>
      </c>
      <c r="S75" s="2" t="s">
        <v>144</v>
      </c>
      <c r="T75" s="2">
        <f>ROUND(T74/$W$107*100,1)</f>
        <v>80.3</v>
      </c>
      <c r="U75" s="23" t="s">
        <v>96</v>
      </c>
      <c r="V75" s="23" t="s">
        <v>97</v>
      </c>
      <c r="W75" s="23" t="s">
        <v>100</v>
      </c>
      <c r="Z75" s="23" t="s">
        <v>96</v>
      </c>
      <c r="AA75" s="23" t="s">
        <v>97</v>
      </c>
      <c r="AB75" s="23" t="s">
        <v>100</v>
      </c>
    </row>
    <row r="76" spans="6:28" x14ac:dyDescent="0.25">
      <c r="H76" s="23" t="s">
        <v>76</v>
      </c>
      <c r="I76" s="11">
        <f>I74*30.5</f>
        <v>53236.363636363632</v>
      </c>
      <c r="U76" s="11">
        <f>ROUND($V$5*U24,-3)</f>
        <v>420000</v>
      </c>
      <c r="V76" s="11">
        <f t="shared" ref="V76:W76" si="12">ROUND($V$5*V24,-3)</f>
        <v>780000</v>
      </c>
      <c r="W76" s="11">
        <f t="shared" si="12"/>
        <v>600000</v>
      </c>
      <c r="Z76" s="11">
        <f>ROUND($I$46*Z25,-3)</f>
        <v>0</v>
      </c>
      <c r="AA76" s="11">
        <f t="shared" ref="AA76:AB76" si="13">ROUND($I$46*AA25,-3)</f>
        <v>0</v>
      </c>
      <c r="AB76" s="11">
        <f t="shared" si="13"/>
        <v>0</v>
      </c>
    </row>
    <row r="77" spans="6:28" ht="30" x14ac:dyDescent="0.25">
      <c r="H77" s="36" t="s">
        <v>57</v>
      </c>
      <c r="I77" s="37">
        <f>I64*I65*I66*I58/1000</f>
        <v>418.90909090909088</v>
      </c>
    </row>
    <row r="78" spans="6:28" ht="45" x14ac:dyDescent="0.25">
      <c r="H78" s="36" t="s">
        <v>58</v>
      </c>
      <c r="I78" s="37">
        <f>C6-I77</f>
        <v>-418.90909090909088</v>
      </c>
      <c r="U78" s="108" t="s">
        <v>120</v>
      </c>
      <c r="V78" s="108"/>
      <c r="W78" s="108"/>
      <c r="Z78" s="108" t="s">
        <v>148</v>
      </c>
      <c r="AA78" s="108"/>
      <c r="AB78" s="108"/>
    </row>
    <row r="79" spans="6:28" ht="15" customHeight="1" x14ac:dyDescent="0.25">
      <c r="U79" s="23" t="s">
        <v>96</v>
      </c>
      <c r="V79" s="23" t="s">
        <v>97</v>
      </c>
      <c r="W79" s="23" t="s">
        <v>100</v>
      </c>
      <c r="Z79" s="23" t="s">
        <v>96</v>
      </c>
      <c r="AA79" s="23" t="s">
        <v>97</v>
      </c>
      <c r="AB79" s="23" t="s">
        <v>100</v>
      </c>
    </row>
    <row r="80" spans="6:28" x14ac:dyDescent="0.25">
      <c r="U80" s="11">
        <f>ROUND($V$5*U28,-3)</f>
        <v>420000</v>
      </c>
      <c r="V80" s="11">
        <f t="shared" ref="V80:W80" si="14">ROUND($V$5*V28,-3)</f>
        <v>780000</v>
      </c>
      <c r="W80" s="11">
        <f t="shared" si="14"/>
        <v>600000</v>
      </c>
      <c r="Z80" s="11">
        <f>ROUND($I$46*Z29,-3)</f>
        <v>0</v>
      </c>
      <c r="AA80" s="11">
        <f t="shared" ref="AA80:AB80" si="15">ROUND($I$46*AA29,-3)</f>
        <v>0</v>
      </c>
      <c r="AB80" s="11">
        <f t="shared" si="15"/>
        <v>0</v>
      </c>
    </row>
    <row r="81" spans="8:31" ht="15" customHeight="1" x14ac:dyDescent="0.25"/>
    <row r="82" spans="8:31" ht="18.75" x14ac:dyDescent="0.25">
      <c r="H82" s="116" t="s">
        <v>59</v>
      </c>
      <c r="I82" s="116"/>
      <c r="J82" s="116"/>
      <c r="U82" s="108" t="s">
        <v>108</v>
      </c>
      <c r="V82" s="108"/>
      <c r="W82" s="108"/>
      <c r="Y82" s="47" t="s">
        <v>123</v>
      </c>
    </row>
    <row r="83" spans="8:31" ht="27.75" customHeight="1" x14ac:dyDescent="0.25">
      <c r="H83" s="115" t="s">
        <v>81</v>
      </c>
      <c r="I83" s="115"/>
      <c r="U83" s="23" t="s">
        <v>96</v>
      </c>
      <c r="V83" s="23" t="s">
        <v>97</v>
      </c>
      <c r="W83" s="23" t="s">
        <v>100</v>
      </c>
      <c r="X83" s="62" t="s">
        <v>143</v>
      </c>
      <c r="Y83" s="39">
        <f>AB85</f>
        <v>34000</v>
      </c>
      <c r="Z83" s="108" t="s">
        <v>151</v>
      </c>
      <c r="AA83" s="108"/>
      <c r="AB83" s="108"/>
      <c r="AD83" s="23" t="s">
        <v>152</v>
      </c>
    </row>
    <row r="84" spans="8:31" ht="15" customHeight="1" x14ac:dyDescent="0.25">
      <c r="H84" s="43" t="s">
        <v>60</v>
      </c>
      <c r="I84" s="43">
        <v>100</v>
      </c>
      <c r="U84" s="11">
        <f>ROUND($V$5*U32,-3)</f>
        <v>360000</v>
      </c>
      <c r="V84" s="11">
        <f t="shared" ref="V84:W84" si="16">ROUND($V$5*V32,-3)</f>
        <v>480000</v>
      </c>
      <c r="W84" s="11">
        <f t="shared" si="16"/>
        <v>420000</v>
      </c>
      <c r="X84" s="62" t="s">
        <v>165</v>
      </c>
      <c r="Y84" s="60">
        <f>Y83/$AB$125*100</f>
        <v>22.818791946308725</v>
      </c>
      <c r="Z84" s="23" t="s">
        <v>96</v>
      </c>
      <c r="AA84" s="23" t="s">
        <v>97</v>
      </c>
      <c r="AB84" s="23" t="s">
        <v>100</v>
      </c>
      <c r="AD84" s="54">
        <f>(I110*1.2*12+I70/4)/AD33</f>
        <v>0.84768211920529801</v>
      </c>
    </row>
    <row r="85" spans="8:31" x14ac:dyDescent="0.25">
      <c r="H85" s="43" t="s">
        <v>61</v>
      </c>
      <c r="I85" s="43">
        <v>200</v>
      </c>
      <c r="Z85" s="11">
        <f>ROUND($AD$84*Z34,-3)</f>
        <v>30000</v>
      </c>
      <c r="AA85" s="11">
        <f t="shared" ref="AA85:AB85" si="17">ROUND($AD$84*AA34,-3)</f>
        <v>38000</v>
      </c>
      <c r="AB85" s="11">
        <f t="shared" si="17"/>
        <v>34000</v>
      </c>
    </row>
    <row r="87" spans="8:31" ht="45.75" customHeight="1" x14ac:dyDescent="0.25">
      <c r="H87" s="13" t="s">
        <v>62</v>
      </c>
      <c r="I87" s="14">
        <f>$C$6*1000/I84</f>
        <v>0</v>
      </c>
      <c r="T87" s="53" t="s">
        <v>139</v>
      </c>
      <c r="U87" s="11">
        <f>U63+U67+U71+U76+U80+U84</f>
        <v>1250000</v>
      </c>
      <c r="V87" s="11">
        <f t="shared" ref="V87:W87" si="18">V63+V67+V71+V76+V80+V84</f>
        <v>2140000</v>
      </c>
      <c r="W87" s="11">
        <f t="shared" si="18"/>
        <v>1695000</v>
      </c>
      <c r="Y87" s="47" t="s">
        <v>125</v>
      </c>
    </row>
    <row r="88" spans="8:31" ht="15" customHeight="1" x14ac:dyDescent="0.25">
      <c r="H88" s="13" t="s">
        <v>63</v>
      </c>
      <c r="I88" s="14">
        <f>$C$6*1000/I85</f>
        <v>0</v>
      </c>
      <c r="X88" s="62" t="s">
        <v>143</v>
      </c>
      <c r="Y88" s="39">
        <f>AB90</f>
        <v>15000</v>
      </c>
      <c r="Z88" s="108" t="s">
        <v>153</v>
      </c>
      <c r="AA88" s="108"/>
      <c r="AB88" s="108"/>
    </row>
    <row r="89" spans="8:31" x14ac:dyDescent="0.25">
      <c r="X89" s="62" t="s">
        <v>165</v>
      </c>
      <c r="Y89" s="60">
        <f>Y88/$AB$125*100</f>
        <v>10.067114093959731</v>
      </c>
      <c r="Z89" s="23" t="s">
        <v>96</v>
      </c>
      <c r="AA89" s="23" t="s">
        <v>97</v>
      </c>
      <c r="AB89" s="23" t="s">
        <v>100</v>
      </c>
    </row>
    <row r="90" spans="8:31" ht="42" x14ac:dyDescent="0.25">
      <c r="H90" s="13" t="s">
        <v>64</v>
      </c>
      <c r="I90" s="13">
        <f>I87/12</f>
        <v>0</v>
      </c>
      <c r="T90" s="48" t="s">
        <v>109</v>
      </c>
      <c r="Z90" s="11">
        <f>ROUND($W$107*Z39/100,-3)</f>
        <v>10000</v>
      </c>
      <c r="AA90" s="11">
        <f t="shared" ref="AA90:AB90" si="19">ROUND($W$107*AA39/100,-3)</f>
        <v>20000</v>
      </c>
      <c r="AB90" s="11">
        <f t="shared" si="19"/>
        <v>15000</v>
      </c>
    </row>
    <row r="91" spans="8:31" ht="15" customHeight="1" x14ac:dyDescent="0.25">
      <c r="H91" s="13" t="s">
        <v>65</v>
      </c>
      <c r="I91" s="13">
        <f>I88/12</f>
        <v>0</v>
      </c>
      <c r="S91" s="2" t="s">
        <v>143</v>
      </c>
      <c r="T91" s="39">
        <f>SUM(W93,W97,W101,W105)</f>
        <v>322000</v>
      </c>
      <c r="U91" s="108" t="s">
        <v>136</v>
      </c>
      <c r="V91" s="108"/>
      <c r="W91" s="108"/>
    </row>
    <row r="92" spans="8:31" ht="18.75" x14ac:dyDescent="0.25">
      <c r="S92" s="2" t="s">
        <v>144</v>
      </c>
      <c r="T92" s="2">
        <f>ROUND(T91/$W$107*100,1)</f>
        <v>16</v>
      </c>
      <c r="U92" s="23" t="s">
        <v>96</v>
      </c>
      <c r="V92" s="23" t="s">
        <v>97</v>
      </c>
      <c r="W92" s="23" t="s">
        <v>100</v>
      </c>
      <c r="AD92" s="52" t="s">
        <v>163</v>
      </c>
      <c r="AE92" s="52" t="s">
        <v>164</v>
      </c>
    </row>
    <row r="93" spans="8:31" ht="21" x14ac:dyDescent="0.25">
      <c r="H93" s="20" t="s">
        <v>70</v>
      </c>
      <c r="I93" s="20">
        <v>2</v>
      </c>
      <c r="U93" s="11">
        <f>ROUND($U$87*U38/100,-3)</f>
        <v>31000</v>
      </c>
      <c r="V93" s="11">
        <f t="shared" ref="V93:W93" si="20">ROUND($U$87*V38/100,-3)</f>
        <v>44000</v>
      </c>
      <c r="W93" s="11">
        <f t="shared" si="20"/>
        <v>38000</v>
      </c>
      <c r="Y93" s="48" t="s">
        <v>127</v>
      </c>
      <c r="AC93" s="48" t="s">
        <v>127</v>
      </c>
      <c r="AD93" s="58">
        <f>Y95+Y99+Y104+Y110</f>
        <v>81000</v>
      </c>
      <c r="AE93" s="61">
        <f>AD93/AB125*100</f>
        <v>54.36241610738255</v>
      </c>
    </row>
    <row r="94" spans="8:31" x14ac:dyDescent="0.25">
      <c r="H94" s="20" t="s">
        <v>71</v>
      </c>
      <c r="I94" s="20">
        <v>3</v>
      </c>
      <c r="Y94" s="2" t="s">
        <v>84</v>
      </c>
    </row>
    <row r="95" spans="8:31" ht="15" customHeight="1" x14ac:dyDescent="0.25">
      <c r="U95" s="108" t="s">
        <v>137</v>
      </c>
      <c r="V95" s="108"/>
      <c r="W95" s="108"/>
      <c r="X95" s="62" t="s">
        <v>143</v>
      </c>
      <c r="Y95" s="57">
        <f>AB97</f>
        <v>0</v>
      </c>
      <c r="Z95" s="108" t="s">
        <v>128</v>
      </c>
      <c r="AA95" s="108"/>
      <c r="AB95" s="108"/>
    </row>
    <row r="96" spans="8:31" ht="15" customHeight="1" x14ac:dyDescent="0.25">
      <c r="H96" s="20" t="s">
        <v>66</v>
      </c>
      <c r="I96" s="20">
        <v>3</v>
      </c>
      <c r="U96" s="23" t="s">
        <v>96</v>
      </c>
      <c r="V96" s="23" t="s">
        <v>97</v>
      </c>
      <c r="W96" s="23" t="s">
        <v>100</v>
      </c>
      <c r="X96" s="62" t="s">
        <v>165</v>
      </c>
      <c r="Y96" s="60">
        <f>Y95/$AB$125*100</f>
        <v>0</v>
      </c>
      <c r="Z96" s="23" t="s">
        <v>96</v>
      </c>
      <c r="AA96" s="23" t="s">
        <v>97</v>
      </c>
      <c r="AB96" s="23" t="s">
        <v>100</v>
      </c>
    </row>
    <row r="97" spans="8:31" x14ac:dyDescent="0.25">
      <c r="H97" s="20" t="s">
        <v>67</v>
      </c>
      <c r="I97" s="20">
        <v>3</v>
      </c>
      <c r="U97" s="11">
        <f>ROUND($V$5*U42,-3)</f>
        <v>120000</v>
      </c>
      <c r="V97" s="11">
        <f t="shared" ref="V97:W97" si="21">ROUND($V$5*V42,-3)</f>
        <v>240000</v>
      </c>
      <c r="W97" s="11">
        <f t="shared" si="21"/>
        <v>180000</v>
      </c>
      <c r="Z97" s="23">
        <v>0</v>
      </c>
      <c r="AA97" s="23">
        <v>0</v>
      </c>
      <c r="AB97" s="55">
        <f>AVERAGE(Z97:AA97)</f>
        <v>0</v>
      </c>
    </row>
    <row r="98" spans="8:31" x14ac:dyDescent="0.25">
      <c r="Y98" s="2" t="s">
        <v>129</v>
      </c>
    </row>
    <row r="99" spans="8:31" ht="15" customHeight="1" x14ac:dyDescent="0.25">
      <c r="H99" s="13" t="s">
        <v>68</v>
      </c>
      <c r="I99" s="13">
        <f>I90*I93/I96</f>
        <v>0</v>
      </c>
      <c r="U99" s="108" t="s">
        <v>114</v>
      </c>
      <c r="V99" s="108"/>
      <c r="W99" s="108"/>
      <c r="X99" s="62" t="s">
        <v>143</v>
      </c>
      <c r="Y99" s="39">
        <f>AB101</f>
        <v>0</v>
      </c>
      <c r="Z99" s="108" t="s">
        <v>154</v>
      </c>
      <c r="AA99" s="108"/>
      <c r="AB99" s="108"/>
    </row>
    <row r="100" spans="8:31" ht="30" x14ac:dyDescent="0.25">
      <c r="H100" s="13" t="s">
        <v>69</v>
      </c>
      <c r="I100" s="13">
        <f>I91*I94/I97</f>
        <v>0</v>
      </c>
      <c r="K100" s="20" t="s">
        <v>72</v>
      </c>
      <c r="L100" s="20">
        <v>15</v>
      </c>
      <c r="U100" s="23" t="s">
        <v>96</v>
      </c>
      <c r="V100" s="23" t="s">
        <v>97</v>
      </c>
      <c r="W100" s="23" t="s">
        <v>100</v>
      </c>
      <c r="X100" s="62" t="s">
        <v>165</v>
      </c>
      <c r="Y100" s="60">
        <f>Y99/$AB$125*100</f>
        <v>0</v>
      </c>
      <c r="Z100" s="23" t="s">
        <v>96</v>
      </c>
      <c r="AA100" s="23" t="s">
        <v>97</v>
      </c>
      <c r="AB100" s="23" t="s">
        <v>100</v>
      </c>
    </row>
    <row r="101" spans="8:31" ht="30" x14ac:dyDescent="0.25">
      <c r="K101" s="13" t="s">
        <v>73</v>
      </c>
      <c r="L101" s="13">
        <f>((100+L100)/100)^2</f>
        <v>1.3224999999999998</v>
      </c>
      <c r="U101" s="11">
        <f>U46</f>
        <v>10000</v>
      </c>
      <c r="V101" s="11">
        <f t="shared" ref="V101:W101" si="22">V46</f>
        <v>10000</v>
      </c>
      <c r="W101" s="11">
        <f t="shared" si="22"/>
        <v>10000</v>
      </c>
      <c r="Z101" s="11">
        <f>ROUND(0.2*$I$46*Z50,-3)</f>
        <v>0</v>
      </c>
      <c r="AA101" s="11">
        <f>ROUND(0.2*$I$46*AA50,-3)</f>
        <v>0</v>
      </c>
      <c r="AB101" s="11">
        <f>ROUND(0.2*$I$46*AB50,-3)</f>
        <v>0</v>
      </c>
    </row>
    <row r="102" spans="8:31" x14ac:dyDescent="0.25">
      <c r="H102" s="13" t="s">
        <v>74</v>
      </c>
      <c r="I102" s="44">
        <f>I99*L101</f>
        <v>0</v>
      </c>
    </row>
    <row r="103" spans="8:31" x14ac:dyDescent="0.25">
      <c r="H103" s="13" t="s">
        <v>75</v>
      </c>
      <c r="I103" s="44">
        <f>I100*L101</f>
        <v>0</v>
      </c>
      <c r="U103" s="108" t="s">
        <v>138</v>
      </c>
      <c r="V103" s="108"/>
      <c r="W103" s="108"/>
      <c r="Y103" s="2" t="s">
        <v>131</v>
      </c>
    </row>
    <row r="104" spans="8:31" ht="15" customHeight="1" x14ac:dyDescent="0.25">
      <c r="U104" s="23" t="s">
        <v>96</v>
      </c>
      <c r="V104" s="23" t="s">
        <v>97</v>
      </c>
      <c r="W104" s="23" t="s">
        <v>100</v>
      </c>
      <c r="X104" s="62" t="s">
        <v>143</v>
      </c>
      <c r="Y104" s="39">
        <f>AB106</f>
        <v>0</v>
      </c>
      <c r="Z104" s="108" t="s">
        <v>132</v>
      </c>
      <c r="AA104" s="108"/>
      <c r="AB104" s="108"/>
    </row>
    <row r="105" spans="8:31" ht="15" customHeight="1" x14ac:dyDescent="0.25">
      <c r="U105" s="11">
        <f>ROUND($U$87*U50/100,-3)</f>
        <v>63000</v>
      </c>
      <c r="V105" s="11">
        <f t="shared" ref="V105:W105" si="23">ROUND($U$87*V50/100,-3)</f>
        <v>125000</v>
      </c>
      <c r="W105" s="11">
        <f t="shared" si="23"/>
        <v>94000</v>
      </c>
      <c r="X105" s="62" t="s">
        <v>165</v>
      </c>
      <c r="Y105" s="60">
        <f>Y104/$AB$125*100</f>
        <v>0</v>
      </c>
      <c r="Z105" s="23" t="s">
        <v>96</v>
      </c>
      <c r="AA105" s="23" t="s">
        <v>97</v>
      </c>
      <c r="AB105" s="23" t="s">
        <v>100</v>
      </c>
    </row>
    <row r="106" spans="8:31" ht="21" x14ac:dyDescent="0.25">
      <c r="H106" s="115" t="s">
        <v>77</v>
      </c>
      <c r="I106" s="115"/>
      <c r="T106" s="48"/>
      <c r="Z106" s="11">
        <f>ROUND(($I$147+$I$151)*Z55,-3)</f>
        <v>0</v>
      </c>
      <c r="AA106" s="11">
        <f t="shared" ref="AA106:AB106" si="24">ROUND(($I$147+$I$151)*AA55,-3)</f>
        <v>0</v>
      </c>
      <c r="AB106" s="11">
        <f t="shared" si="24"/>
        <v>0</v>
      </c>
    </row>
    <row r="107" spans="8:31" ht="21" x14ac:dyDescent="0.25">
      <c r="H107" s="20" t="s">
        <v>80</v>
      </c>
      <c r="I107" s="20">
        <v>4</v>
      </c>
      <c r="T107" s="53" t="s">
        <v>140</v>
      </c>
      <c r="U107" s="11">
        <f>U87+U93+U97+U101+U105</f>
        <v>1474000</v>
      </c>
      <c r="V107" s="11">
        <f>V87+V93+V97+V101+V105</f>
        <v>2559000</v>
      </c>
      <c r="W107" s="11">
        <f>W87+W93+W97+W101+W105</f>
        <v>2017000</v>
      </c>
      <c r="Y107" s="48"/>
    </row>
    <row r="108" spans="8:31" ht="21" x14ac:dyDescent="0.25">
      <c r="H108" s="20" t="s">
        <v>78</v>
      </c>
      <c r="I108" s="20">
        <v>10</v>
      </c>
      <c r="T108" s="48"/>
      <c r="Y108" s="48"/>
    </row>
    <row r="109" spans="8:31" ht="30" x14ac:dyDescent="0.25">
      <c r="T109" s="48"/>
      <c r="Y109" s="48" t="s">
        <v>161</v>
      </c>
      <c r="Z109" s="108" t="s">
        <v>167</v>
      </c>
      <c r="AA109" s="108"/>
      <c r="AB109" s="108"/>
      <c r="AD109" s="18" t="s">
        <v>162</v>
      </c>
      <c r="AE109" s="18" t="s">
        <v>166</v>
      </c>
    </row>
    <row r="110" spans="8:31" ht="21" x14ac:dyDescent="0.25">
      <c r="H110" s="13" t="s">
        <v>79</v>
      </c>
      <c r="I110" s="13">
        <f>I108*I107</f>
        <v>40</v>
      </c>
      <c r="T110" s="48"/>
      <c r="X110" s="62" t="s">
        <v>143</v>
      </c>
      <c r="Y110" s="59">
        <f>AB111</f>
        <v>81000</v>
      </c>
      <c r="Z110" s="23" t="s">
        <v>96</v>
      </c>
      <c r="AA110" s="23" t="s">
        <v>97</v>
      </c>
      <c r="AB110" s="23" t="s">
        <v>100</v>
      </c>
      <c r="AD110" s="18">
        <v>20</v>
      </c>
      <c r="AE110" s="18">
        <v>20</v>
      </c>
    </row>
    <row r="111" spans="8:31" ht="21" x14ac:dyDescent="0.25">
      <c r="U111" s="107" t="s">
        <v>155</v>
      </c>
      <c r="V111" s="107"/>
      <c r="W111" s="107"/>
      <c r="X111" s="62" t="s">
        <v>165</v>
      </c>
      <c r="Y111" s="60">
        <f>Y110/$AB$125*100</f>
        <v>54.36241610738255</v>
      </c>
      <c r="Z111" s="11">
        <f>ROUND(U107*(1-$AD$110/100)/$AE$110,-3)</f>
        <v>59000</v>
      </c>
      <c r="AA111" s="11">
        <f>ROUND(V107*(1-$AD$110/100)/$AE$110,-3)</f>
        <v>102000</v>
      </c>
      <c r="AB111" s="11">
        <f>ROUND(W107*(1-$AD$110/100)/$AE$110,-3)</f>
        <v>81000</v>
      </c>
    </row>
    <row r="112" spans="8:31" ht="45" x14ac:dyDescent="0.25">
      <c r="H112" s="13" t="s">
        <v>82</v>
      </c>
      <c r="I112" s="14">
        <f>(C6*1000/12)/I110</f>
        <v>0</v>
      </c>
      <c r="U112" s="108" t="s">
        <v>154</v>
      </c>
      <c r="V112" s="108"/>
      <c r="W112" s="108"/>
    </row>
    <row r="113" spans="8:28" x14ac:dyDescent="0.25">
      <c r="U113" s="23" t="s">
        <v>96</v>
      </c>
      <c r="V113" s="23" t="s">
        <v>97</v>
      </c>
      <c r="W113" s="23" t="s">
        <v>100</v>
      </c>
    </row>
    <row r="114" spans="8:28" x14ac:dyDescent="0.25">
      <c r="U114" s="11">
        <f>ROUND($I$46*Z50,-3)</f>
        <v>0</v>
      </c>
      <c r="V114" s="11">
        <f t="shared" ref="V114:W114" si="25">ROUND($I$46*AA50,-3)</f>
        <v>0</v>
      </c>
      <c r="W114" s="11">
        <f t="shared" si="25"/>
        <v>0</v>
      </c>
    </row>
    <row r="117" spans="8:28" ht="18.75" x14ac:dyDescent="0.25">
      <c r="H117" s="116" t="s">
        <v>83</v>
      </c>
      <c r="I117" s="116"/>
      <c r="J117" s="116"/>
      <c r="U117" s="108" t="s">
        <v>156</v>
      </c>
      <c r="V117" s="108"/>
      <c r="W117" s="108"/>
    </row>
    <row r="118" spans="8:28" x14ac:dyDescent="0.25">
      <c r="U118" s="23" t="s">
        <v>96</v>
      </c>
      <c r="V118" s="23" t="s">
        <v>97</v>
      </c>
      <c r="W118" s="23" t="s">
        <v>100</v>
      </c>
    </row>
    <row r="119" spans="8:28" x14ac:dyDescent="0.25">
      <c r="H119" s="4" t="s">
        <v>84</v>
      </c>
      <c r="I119" s="4" t="s">
        <v>85</v>
      </c>
      <c r="J119" s="4" t="s">
        <v>86</v>
      </c>
      <c r="U119" s="11">
        <f>ROUND($K$46*AD50,-3)</f>
        <v>0</v>
      </c>
      <c r="V119" s="11">
        <f t="shared" ref="V119:W119" si="26">ROUND($K$46*AE50,-3)</f>
        <v>0</v>
      </c>
      <c r="W119" s="11">
        <f t="shared" si="26"/>
        <v>0</v>
      </c>
    </row>
    <row r="120" spans="8:28" x14ac:dyDescent="0.25">
      <c r="H120" s="3" t="str">
        <f>'Input waste-biomass'!B4</f>
        <v>Fuel 1</v>
      </c>
      <c r="I120" s="5">
        <f>('Input waste-biomass'!C4-'Input waste-biomass'!C4*'Input waste-biomass'!D4)*'Input waste-biomass'!E4</f>
        <v>0</v>
      </c>
      <c r="J120" s="5">
        <f>('Input waste-biomass'!C4-'Input waste-biomass'!C4*'Input waste-biomass'!D4)*'Input waste-biomass'!F4</f>
        <v>0</v>
      </c>
    </row>
    <row r="121" spans="8:28" x14ac:dyDescent="0.25">
      <c r="H121" s="3" t="str">
        <f>'Input waste-biomass'!B5</f>
        <v>Fuel 2</v>
      </c>
      <c r="I121" s="5">
        <f>('Input waste-biomass'!C5-'Input waste-biomass'!C5*'Input waste-biomass'!D5)*'Input waste-biomass'!E5</f>
        <v>0</v>
      </c>
      <c r="J121" s="5">
        <f>('Input waste-biomass'!C5-'Input waste-biomass'!C5*'Input waste-biomass'!D5)*'Input waste-biomass'!F5</f>
        <v>0</v>
      </c>
      <c r="U121" s="108" t="s">
        <v>157</v>
      </c>
      <c r="V121" s="108"/>
      <c r="W121" s="108"/>
    </row>
    <row r="122" spans="8:28" x14ac:dyDescent="0.25">
      <c r="H122" s="3" t="str">
        <f>'Input waste-biomass'!B6</f>
        <v>Fuel 3</v>
      </c>
      <c r="I122" s="5">
        <f>('Input waste-biomass'!C6-'Input waste-biomass'!C6*'Input waste-biomass'!D6)*'Input waste-biomass'!E6</f>
        <v>0</v>
      </c>
      <c r="J122" s="5">
        <f>('Input waste-biomass'!C6-'Input waste-biomass'!C6*'Input waste-biomass'!D6)*'Input waste-biomass'!F6</f>
        <v>0</v>
      </c>
      <c r="U122" s="23" t="s">
        <v>96</v>
      </c>
      <c r="V122" s="23" t="s">
        <v>97</v>
      </c>
      <c r="W122" s="23" t="s">
        <v>100</v>
      </c>
    </row>
    <row r="123" spans="8:28" x14ac:dyDescent="0.25">
      <c r="H123" s="3" t="str">
        <f>'Input waste-biomass'!B7</f>
        <v>Fuel 4</v>
      </c>
      <c r="I123" s="5">
        <f>('Input waste-biomass'!C7-'Input waste-biomass'!C7*'Input waste-biomass'!D7)*'Input waste-biomass'!E7</f>
        <v>0</v>
      </c>
      <c r="J123" s="5">
        <f>('Input waste-biomass'!C7-'Input waste-biomass'!C7*'Input waste-biomass'!D7)*'Input waste-biomass'!F7</f>
        <v>0</v>
      </c>
      <c r="U123" s="11">
        <f>ROUND($C$6*AD55,-3)</f>
        <v>0</v>
      </c>
      <c r="V123" s="11">
        <f t="shared" ref="V123:W123" si="27">ROUND($C$6*AE55,-3)</f>
        <v>0</v>
      </c>
      <c r="W123" s="11">
        <f t="shared" si="27"/>
        <v>0</v>
      </c>
    </row>
    <row r="124" spans="8:28" x14ac:dyDescent="0.25">
      <c r="H124" s="3" t="str">
        <f>'Input waste-biomass'!B8</f>
        <v>Fuel 5</v>
      </c>
      <c r="I124" s="5">
        <f>('Input waste-biomass'!C8-'Input waste-biomass'!C8*'Input waste-biomass'!D8)*'Input waste-biomass'!E8</f>
        <v>0</v>
      </c>
      <c r="J124" s="5">
        <f>('Input waste-biomass'!C8-'Input waste-biomass'!C8*'Input waste-biomass'!D8)*'Input waste-biomass'!F8</f>
        <v>0</v>
      </c>
    </row>
    <row r="125" spans="8:28" ht="18.75" x14ac:dyDescent="0.25">
      <c r="H125" s="3" t="str">
        <f>'Input waste-biomass'!B9</f>
        <v>Fuel 6</v>
      </c>
      <c r="I125" s="5">
        <f>('Input waste-biomass'!C9-'Input waste-biomass'!C9*'Input waste-biomass'!D9)*'Input waste-biomass'!E9</f>
        <v>0</v>
      </c>
      <c r="J125" s="5">
        <f>('Input waste-biomass'!C9-'Input waste-biomass'!C9*'Input waste-biomass'!D9)*'Input waste-biomass'!F9</f>
        <v>0</v>
      </c>
      <c r="T125" s="56" t="s">
        <v>160</v>
      </c>
      <c r="U125" s="11">
        <f>SUM(U114,U119,U123)</f>
        <v>0</v>
      </c>
      <c r="V125" s="11">
        <f t="shared" ref="V125:W125" si="28">SUM(V114,V119,V123)</f>
        <v>0</v>
      </c>
      <c r="W125" s="11">
        <f t="shared" si="28"/>
        <v>0</v>
      </c>
      <c r="Y125" s="56" t="s">
        <v>173</v>
      </c>
      <c r="Z125" s="11">
        <f>SUM(Z64,Z68,Z72,Z76,Z80,Z85,Z90,Z97,Z101,Z106,Z111)</f>
        <v>113000</v>
      </c>
      <c r="AA125" s="11">
        <f t="shared" ref="AA125:AB125" si="29">SUM(AA64,AA68,AA72,AA76,AA80,AA85,AA90,AA97,AA101,AA106,AA111)</f>
        <v>184000</v>
      </c>
      <c r="AB125" s="11">
        <f t="shared" si="29"/>
        <v>149000</v>
      </c>
    </row>
    <row r="126" spans="8:28" x14ac:dyDescent="0.25">
      <c r="H126" s="3" t="str">
        <f>'Input waste-biomass'!B10</f>
        <v>Fuel 7</v>
      </c>
      <c r="I126" s="5">
        <f>('Input waste-biomass'!C10-'Input waste-biomass'!C10*'Input waste-biomass'!D10)*'Input waste-biomass'!E10</f>
        <v>0</v>
      </c>
      <c r="J126" s="5">
        <f>('Input waste-biomass'!C10-'Input waste-biomass'!C10*'Input waste-biomass'!D10)*'Input waste-biomass'!F10</f>
        <v>0</v>
      </c>
    </row>
    <row r="127" spans="8:28" x14ac:dyDescent="0.25">
      <c r="H127" s="3" t="str">
        <f>'Input waste-biomass'!B11</f>
        <v>Fuel 8</v>
      </c>
      <c r="I127" s="5">
        <f>('Input waste-biomass'!C11-'Input waste-biomass'!C11*'Input waste-biomass'!D11)*'Input waste-biomass'!E11</f>
        <v>0</v>
      </c>
      <c r="J127" s="5">
        <f>('Input waste-biomass'!C11-'Input waste-biomass'!C11*'Input waste-biomass'!D11)*'Input waste-biomass'!F11</f>
        <v>0</v>
      </c>
    </row>
    <row r="128" spans="8:28" x14ac:dyDescent="0.25">
      <c r="H128" s="3" t="str">
        <f>'Input waste-biomass'!B12</f>
        <v>Fuel 9</v>
      </c>
      <c r="I128" s="5">
        <f>('Input waste-biomass'!C12-'Input waste-biomass'!C12*'Input waste-biomass'!D12)*'Input waste-biomass'!E12</f>
        <v>0</v>
      </c>
      <c r="J128" s="5">
        <f>('Input waste-biomass'!C12-'Input waste-biomass'!C12*'Input waste-biomass'!D12)*'Input waste-biomass'!F12</f>
        <v>0</v>
      </c>
    </row>
    <row r="129" spans="8:27" x14ac:dyDescent="0.25">
      <c r="H129" s="3" t="str">
        <f>'Input waste-biomass'!B13</f>
        <v>Fuel 10</v>
      </c>
      <c r="I129" s="5">
        <f>('Input waste-biomass'!C13-'Input waste-biomass'!C13*'Input waste-biomass'!D13)*'Input waste-biomass'!E13</f>
        <v>0</v>
      </c>
      <c r="J129" s="5">
        <f>('Input waste-biomass'!C13-'Input waste-biomass'!C13*'Input waste-biomass'!D13)*'Input waste-biomass'!F13</f>
        <v>0</v>
      </c>
    </row>
    <row r="131" spans="8:27" x14ac:dyDescent="0.25">
      <c r="H131" s="2" t="s">
        <v>87</v>
      </c>
      <c r="I131" s="39">
        <f>SUM(I120:I129)</f>
        <v>0</v>
      </c>
      <c r="J131" s="39">
        <f>SUM(J120:J129)</f>
        <v>0</v>
      </c>
    </row>
    <row r="132" spans="8:27" ht="15.75" thickBot="1" x14ac:dyDescent="0.3"/>
    <row r="133" spans="8:27" ht="30" customHeight="1" x14ac:dyDescent="0.25">
      <c r="H133" s="115" t="s">
        <v>89</v>
      </c>
      <c r="I133" s="115"/>
      <c r="T133" s="101" t="s">
        <v>174</v>
      </c>
      <c r="U133" s="102"/>
      <c r="V133" s="102"/>
      <c r="W133" s="102"/>
      <c r="X133" s="102"/>
      <c r="Y133" s="102"/>
      <c r="Z133" s="102"/>
      <c r="AA133" s="103"/>
    </row>
    <row r="134" spans="8:27" x14ac:dyDescent="0.25">
      <c r="T134" s="100" t="s">
        <v>168</v>
      </c>
      <c r="U134" s="98" t="s">
        <v>169</v>
      </c>
      <c r="V134" s="98"/>
      <c r="W134" s="98"/>
      <c r="X134" s="98"/>
      <c r="Y134" s="98"/>
      <c r="Z134" s="98"/>
      <c r="AA134" s="99"/>
    </row>
    <row r="135" spans="8:27" x14ac:dyDescent="0.25">
      <c r="H135" s="13" t="s">
        <v>181</v>
      </c>
      <c r="I135" s="14">
        <f>J131</f>
        <v>0</v>
      </c>
      <c r="T135" s="100"/>
      <c r="U135" s="4">
        <v>100</v>
      </c>
      <c r="V135" s="4">
        <v>150</v>
      </c>
      <c r="W135" s="4">
        <v>200</v>
      </c>
      <c r="X135" s="4">
        <v>250</v>
      </c>
      <c r="Y135" s="4">
        <v>300</v>
      </c>
      <c r="Z135" s="4">
        <v>350</v>
      </c>
      <c r="AA135" s="64">
        <v>400</v>
      </c>
    </row>
    <row r="136" spans="8:27" x14ac:dyDescent="0.25">
      <c r="T136" s="63">
        <v>10</v>
      </c>
      <c r="U136" s="5">
        <f>ROUND($I$46*U$135,-3)+ROUND($K$46*$T136,-3)+$W$123</f>
        <v>0</v>
      </c>
      <c r="V136" s="5">
        <f t="shared" ref="V136:AA142" si="30">ROUND($I$46*V$135,-3)+ROUND($K$46*$T136,-3)+$W$123</f>
        <v>0</v>
      </c>
      <c r="W136" s="5">
        <f t="shared" si="30"/>
        <v>0</v>
      </c>
      <c r="X136" s="5">
        <f t="shared" si="30"/>
        <v>0</v>
      </c>
      <c r="Y136" s="5">
        <f t="shared" si="30"/>
        <v>0</v>
      </c>
      <c r="Z136" s="5">
        <f t="shared" si="30"/>
        <v>0</v>
      </c>
      <c r="AA136" s="65">
        <f t="shared" si="30"/>
        <v>0</v>
      </c>
    </row>
    <row r="137" spans="8:27" x14ac:dyDescent="0.25">
      <c r="H137" s="43" t="s">
        <v>90</v>
      </c>
      <c r="I137" s="43">
        <v>95</v>
      </c>
      <c r="T137" s="63">
        <v>50</v>
      </c>
      <c r="U137" s="5">
        <f t="shared" ref="U137:U142" si="31">ROUND($I$46*U$135,-3)+ROUND($K$46*$T137,-3)+$W$123</f>
        <v>0</v>
      </c>
      <c r="V137" s="5">
        <f t="shared" si="30"/>
        <v>0</v>
      </c>
      <c r="W137" s="5">
        <f t="shared" si="30"/>
        <v>0</v>
      </c>
      <c r="X137" s="5">
        <f t="shared" si="30"/>
        <v>0</v>
      </c>
      <c r="Y137" s="5">
        <f t="shared" si="30"/>
        <v>0</v>
      </c>
      <c r="Z137" s="5">
        <f t="shared" si="30"/>
        <v>0</v>
      </c>
      <c r="AA137" s="65">
        <f t="shared" si="30"/>
        <v>0</v>
      </c>
    </row>
    <row r="138" spans="8:27" x14ac:dyDescent="0.25">
      <c r="T138" s="63">
        <v>100</v>
      </c>
      <c r="U138" s="5">
        <f t="shared" si="31"/>
        <v>0</v>
      </c>
      <c r="V138" s="5">
        <f t="shared" si="30"/>
        <v>0</v>
      </c>
      <c r="W138" s="5">
        <f t="shared" si="30"/>
        <v>0</v>
      </c>
      <c r="X138" s="5">
        <f t="shared" si="30"/>
        <v>0</v>
      </c>
      <c r="Y138" s="5">
        <f t="shared" si="30"/>
        <v>0</v>
      </c>
      <c r="Z138" s="5">
        <f t="shared" si="30"/>
        <v>0</v>
      </c>
      <c r="AA138" s="65">
        <f t="shared" si="30"/>
        <v>0</v>
      </c>
    </row>
    <row r="139" spans="8:27" x14ac:dyDescent="0.25">
      <c r="H139" s="13" t="s">
        <v>180</v>
      </c>
      <c r="I139" s="45">
        <f>I135*I137/100</f>
        <v>0</v>
      </c>
      <c r="T139" s="63">
        <v>150</v>
      </c>
      <c r="U139" s="5">
        <f t="shared" si="31"/>
        <v>0</v>
      </c>
      <c r="V139" s="5">
        <f t="shared" si="30"/>
        <v>0</v>
      </c>
      <c r="W139" s="5">
        <f t="shared" si="30"/>
        <v>0</v>
      </c>
      <c r="X139" s="5">
        <f t="shared" si="30"/>
        <v>0</v>
      </c>
      <c r="Y139" s="5">
        <f t="shared" si="30"/>
        <v>0</v>
      </c>
      <c r="Z139" s="5">
        <f t="shared" si="30"/>
        <v>0</v>
      </c>
      <c r="AA139" s="65">
        <f t="shared" si="30"/>
        <v>0</v>
      </c>
    </row>
    <row r="140" spans="8:27" x14ac:dyDescent="0.25">
      <c r="H140" s="13" t="s">
        <v>91</v>
      </c>
      <c r="I140" s="45">
        <f>I135*(1-I137/100)</f>
        <v>0</v>
      </c>
      <c r="T140" s="63">
        <v>200</v>
      </c>
      <c r="U140" s="5">
        <f t="shared" si="31"/>
        <v>0</v>
      </c>
      <c r="V140" s="5">
        <f t="shared" si="30"/>
        <v>0</v>
      </c>
      <c r="W140" s="5">
        <f t="shared" si="30"/>
        <v>0</v>
      </c>
      <c r="X140" s="5">
        <f t="shared" si="30"/>
        <v>0</v>
      </c>
      <c r="Y140" s="5">
        <f t="shared" si="30"/>
        <v>0</v>
      </c>
      <c r="Z140" s="5">
        <f t="shared" si="30"/>
        <v>0</v>
      </c>
      <c r="AA140" s="65">
        <f t="shared" si="30"/>
        <v>0</v>
      </c>
    </row>
    <row r="141" spans="8:27" x14ac:dyDescent="0.25">
      <c r="T141" s="63">
        <v>250</v>
      </c>
      <c r="U141" s="5">
        <f t="shared" si="31"/>
        <v>0</v>
      </c>
      <c r="V141" s="5">
        <f t="shared" si="30"/>
        <v>0</v>
      </c>
      <c r="W141" s="5">
        <f t="shared" si="30"/>
        <v>0</v>
      </c>
      <c r="X141" s="5">
        <f t="shared" si="30"/>
        <v>0</v>
      </c>
      <c r="Y141" s="5">
        <f t="shared" si="30"/>
        <v>0</v>
      </c>
      <c r="Z141" s="5">
        <f t="shared" si="30"/>
        <v>0</v>
      </c>
      <c r="AA141" s="65">
        <f t="shared" si="30"/>
        <v>0</v>
      </c>
    </row>
    <row r="142" spans="8:27" ht="15.75" thickBot="1" x14ac:dyDescent="0.3">
      <c r="T142" s="66">
        <v>300</v>
      </c>
      <c r="U142" s="67">
        <f t="shared" si="31"/>
        <v>0</v>
      </c>
      <c r="V142" s="67">
        <f t="shared" si="30"/>
        <v>0</v>
      </c>
      <c r="W142" s="67">
        <f t="shared" si="30"/>
        <v>0</v>
      </c>
      <c r="X142" s="67">
        <f t="shared" si="30"/>
        <v>0</v>
      </c>
      <c r="Y142" s="67">
        <f t="shared" si="30"/>
        <v>0</v>
      </c>
      <c r="Z142" s="67">
        <f t="shared" si="30"/>
        <v>0</v>
      </c>
      <c r="AA142" s="68">
        <f t="shared" si="30"/>
        <v>0</v>
      </c>
    </row>
    <row r="144" spans="8:27" ht="15.75" thickBot="1" x14ac:dyDescent="0.3"/>
    <row r="145" spans="8:27" ht="18.75" x14ac:dyDescent="0.25">
      <c r="T145" s="104" t="s">
        <v>171</v>
      </c>
      <c r="U145" s="105"/>
      <c r="V145" s="106"/>
    </row>
    <row r="146" spans="8:27" ht="15.75" thickBot="1" x14ac:dyDescent="0.3">
      <c r="H146" s="43" t="s">
        <v>93</v>
      </c>
      <c r="I146" s="43">
        <v>8</v>
      </c>
      <c r="T146" s="70"/>
      <c r="V146" s="71"/>
    </row>
    <row r="147" spans="8:27" ht="18.75" x14ac:dyDescent="0.25">
      <c r="H147" s="13" t="s">
        <v>182</v>
      </c>
      <c r="I147" s="45">
        <f>I146/100*C6</f>
        <v>0</v>
      </c>
      <c r="T147" s="69" t="str">
        <f>U59</f>
        <v>Capital Cost</v>
      </c>
      <c r="U147" s="81">
        <f>W107</f>
        <v>2017000</v>
      </c>
      <c r="V147" s="82" t="s">
        <v>143</v>
      </c>
    </row>
    <row r="148" spans="8:27" x14ac:dyDescent="0.25">
      <c r="T148" s="73" t="str">
        <f>T60</f>
        <v>Fuel management</v>
      </c>
      <c r="U148" s="74">
        <f>T61</f>
        <v>75000</v>
      </c>
      <c r="V148" s="72" t="s">
        <v>143</v>
      </c>
    </row>
    <row r="149" spans="8:27" x14ac:dyDescent="0.25">
      <c r="T149" s="73" t="str">
        <f>T73</f>
        <v>Process (energy production)</v>
      </c>
      <c r="U149" s="74">
        <f>T74</f>
        <v>1620000</v>
      </c>
      <c r="V149" s="72" t="s">
        <v>143</v>
      </c>
    </row>
    <row r="150" spans="8:27" ht="15.75" thickBot="1" x14ac:dyDescent="0.3">
      <c r="H150" s="43" t="s">
        <v>94</v>
      </c>
      <c r="I150" s="43">
        <v>1</v>
      </c>
      <c r="T150" s="78" t="str">
        <f>T90</f>
        <v>Ingineering, Construction, Transport</v>
      </c>
      <c r="U150" s="79">
        <f>T91</f>
        <v>322000</v>
      </c>
      <c r="V150" s="80" t="s">
        <v>143</v>
      </c>
    </row>
    <row r="151" spans="8:27" x14ac:dyDescent="0.25">
      <c r="H151" s="13" t="s">
        <v>183</v>
      </c>
      <c r="I151" s="46">
        <f>C6*I150/100</f>
        <v>0</v>
      </c>
      <c r="T151" s="70"/>
      <c r="V151" s="71"/>
    </row>
    <row r="152" spans="8:27" ht="15.75" thickBot="1" x14ac:dyDescent="0.3">
      <c r="T152" s="70"/>
      <c r="V152" s="71"/>
    </row>
    <row r="153" spans="8:27" ht="18.75" x14ac:dyDescent="0.25">
      <c r="T153" s="69" t="str">
        <f>Z59</f>
        <v>Operational Cost</v>
      </c>
      <c r="U153" s="81">
        <f>AB125</f>
        <v>149000</v>
      </c>
      <c r="V153" s="82" t="s">
        <v>172</v>
      </c>
      <c r="Y153" s="69" t="str">
        <f>U111</f>
        <v xml:space="preserve">Incomes </v>
      </c>
      <c r="Z153" s="81">
        <f>W125</f>
        <v>0</v>
      </c>
      <c r="AA153" s="82"/>
    </row>
    <row r="154" spans="8:27" x14ac:dyDescent="0.25">
      <c r="T154" s="75" t="str">
        <f>Y60</f>
        <v>Fixed Charge</v>
      </c>
      <c r="U154" s="76">
        <f>AD60</f>
        <v>68000</v>
      </c>
      <c r="V154" s="72" t="s">
        <v>172</v>
      </c>
      <c r="Y154" s="73" t="str">
        <f>U112</f>
        <v>Electricity - €/y</v>
      </c>
      <c r="Z154" s="74">
        <f>W114</f>
        <v>0</v>
      </c>
      <c r="AA154" s="72"/>
    </row>
    <row r="155" spans="8:27" x14ac:dyDescent="0.25">
      <c r="T155" s="73" t="str">
        <f>Y61</f>
        <v>Maintenance</v>
      </c>
      <c r="U155" s="74">
        <f>Y62</f>
        <v>19000</v>
      </c>
      <c r="V155" s="72" t="s">
        <v>172</v>
      </c>
      <c r="Y155" s="73" t="str">
        <f>U117</f>
        <v>Heat - €/y</v>
      </c>
      <c r="Z155" s="74">
        <f>W119</f>
        <v>0</v>
      </c>
      <c r="AA155" s="72"/>
    </row>
    <row r="156" spans="8:27" x14ac:dyDescent="0.25">
      <c r="T156" s="73" t="str">
        <f>Y82</f>
        <v>Salary</v>
      </c>
      <c r="U156" s="74">
        <f>Y83</f>
        <v>34000</v>
      </c>
      <c r="V156" s="72" t="s">
        <v>172</v>
      </c>
      <c r="Y156" s="73" t="str">
        <f>U121</f>
        <v>Revenues as waste treament - €/y</v>
      </c>
      <c r="Z156" s="74">
        <f>W123</f>
        <v>0</v>
      </c>
      <c r="AA156" s="72"/>
    </row>
    <row r="157" spans="8:27" ht="15.75" thickBot="1" x14ac:dyDescent="0.3">
      <c r="T157" s="73" t="str">
        <f>Y87</f>
        <v>Other</v>
      </c>
      <c r="U157" s="74">
        <f>Y88</f>
        <v>15000</v>
      </c>
      <c r="V157" s="72" t="s">
        <v>172</v>
      </c>
      <c r="Y157" s="94" t="s">
        <v>175</v>
      </c>
      <c r="Z157" s="95"/>
      <c r="AA157" s="96"/>
    </row>
    <row r="158" spans="8:27" x14ac:dyDescent="0.25">
      <c r="T158" s="70"/>
      <c r="V158" s="71"/>
    </row>
    <row r="159" spans="8:27" x14ac:dyDescent="0.25">
      <c r="T159" s="75" t="str">
        <f>Y93</f>
        <v>Variable Charge</v>
      </c>
      <c r="U159" s="76">
        <f>AD93</f>
        <v>81000</v>
      </c>
      <c r="V159" s="72" t="s">
        <v>172</v>
      </c>
    </row>
    <row r="160" spans="8:27" x14ac:dyDescent="0.25">
      <c r="T160" s="73" t="str">
        <f>Y94</f>
        <v>Fuel</v>
      </c>
      <c r="U160" s="77">
        <f>Y95</f>
        <v>0</v>
      </c>
      <c r="V160" s="72" t="s">
        <v>172</v>
      </c>
    </row>
    <row r="161" spans="20:22" x14ac:dyDescent="0.25">
      <c r="T161" s="73" t="str">
        <f>Y98</f>
        <v>Self consumption</v>
      </c>
      <c r="U161" s="74">
        <f>Y99</f>
        <v>0</v>
      </c>
      <c r="V161" s="72" t="s">
        <v>172</v>
      </c>
    </row>
    <row r="162" spans="20:22" x14ac:dyDescent="0.25">
      <c r="T162" s="73" t="str">
        <f>Y103</f>
        <v>Evacuation of Residues</v>
      </c>
      <c r="U162" s="74">
        <f>Y104</f>
        <v>0</v>
      </c>
      <c r="V162" s="72" t="s">
        <v>172</v>
      </c>
    </row>
    <row r="163" spans="20:22" ht="15.75" thickBot="1" x14ac:dyDescent="0.3">
      <c r="T163" s="78" t="str">
        <f>Y109</f>
        <v>Loan</v>
      </c>
      <c r="U163" s="79">
        <f>Y110</f>
        <v>81000</v>
      </c>
      <c r="V163" s="80" t="s">
        <v>172</v>
      </c>
    </row>
  </sheetData>
  <mergeCells count="70">
    <mergeCell ref="A2:F2"/>
    <mergeCell ref="H2:K2"/>
    <mergeCell ref="U36:W36"/>
    <mergeCell ref="U7:AB7"/>
    <mergeCell ref="Z15:AB15"/>
    <mergeCell ref="Z19:AB19"/>
    <mergeCell ref="Z23:AB23"/>
    <mergeCell ref="Z32:AB32"/>
    <mergeCell ref="H106:I106"/>
    <mergeCell ref="H83:I83"/>
    <mergeCell ref="H117:J117"/>
    <mergeCell ref="H133:I133"/>
    <mergeCell ref="H57:I57"/>
    <mergeCell ref="H72:I72"/>
    <mergeCell ref="H82:J82"/>
    <mergeCell ref="Z37:AB37"/>
    <mergeCell ref="Z44:AB44"/>
    <mergeCell ref="Z48:AB48"/>
    <mergeCell ref="U18:W18"/>
    <mergeCell ref="Z8:AB8"/>
    <mergeCell ref="U22:W22"/>
    <mergeCell ref="U30:W30"/>
    <mergeCell ref="U26:W26"/>
    <mergeCell ref="U10:W10"/>
    <mergeCell ref="U8:W8"/>
    <mergeCell ref="U14:W14"/>
    <mergeCell ref="Z27:AB27"/>
    <mergeCell ref="Z11:AB11"/>
    <mergeCell ref="U40:W40"/>
    <mergeCell ref="U44:W44"/>
    <mergeCell ref="U48:W48"/>
    <mergeCell ref="H50:I50"/>
    <mergeCell ref="J50:M50"/>
    <mergeCell ref="U61:W61"/>
    <mergeCell ref="U65:W65"/>
    <mergeCell ref="U69:W69"/>
    <mergeCell ref="U74:W74"/>
    <mergeCell ref="Z53:AB53"/>
    <mergeCell ref="U58:AB58"/>
    <mergeCell ref="U59:W59"/>
    <mergeCell ref="Z59:AB59"/>
    <mergeCell ref="Z74:AB74"/>
    <mergeCell ref="Z99:AB99"/>
    <mergeCell ref="Z104:AB104"/>
    <mergeCell ref="U103:W103"/>
    <mergeCell ref="U78:W78"/>
    <mergeCell ref="U82:W82"/>
    <mergeCell ref="U91:W91"/>
    <mergeCell ref="U95:W95"/>
    <mergeCell ref="U99:W99"/>
    <mergeCell ref="Z78:AB78"/>
    <mergeCell ref="Z83:AB83"/>
    <mergeCell ref="Z88:AB88"/>
    <mergeCell ref="Z95:AB95"/>
    <mergeCell ref="Y157:AA157"/>
    <mergeCell ref="T2:AD2"/>
    <mergeCell ref="U134:AA134"/>
    <mergeCell ref="T134:T135"/>
    <mergeCell ref="T133:AA133"/>
    <mergeCell ref="T145:V145"/>
    <mergeCell ref="U111:W111"/>
    <mergeCell ref="U112:W112"/>
    <mergeCell ref="U117:W117"/>
    <mergeCell ref="U121:W121"/>
    <mergeCell ref="AD48:AF48"/>
    <mergeCell ref="AD53:AF53"/>
    <mergeCell ref="Z109:AB109"/>
    <mergeCell ref="Z62:AB62"/>
    <mergeCell ref="Z66:AB66"/>
    <mergeCell ref="Z70:AB70"/>
  </mergeCells>
  <phoneticPr fontId="2" type="noConversion"/>
  <conditionalFormatting sqref="U136:AA142">
    <cfRule type="cellIs" dxfId="3" priority="1" operator="greaterThan">
      <formula>$AB$125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8E17B-66E9-4428-81C9-5FDFC34CB802}">
  <sheetPr>
    <pageSetUpPr fitToPage="1"/>
  </sheetPr>
  <dimension ref="A2:I66"/>
  <sheetViews>
    <sheetView tabSelected="1" zoomScale="70" zoomScaleNormal="70" workbookViewId="0">
      <selection activeCell="B3" sqref="B3:I3"/>
    </sheetView>
  </sheetViews>
  <sheetFormatPr baseColWidth="10" defaultRowHeight="15" x14ac:dyDescent="0.25"/>
  <cols>
    <col min="1" max="1" width="11.42578125" style="2"/>
    <col min="2" max="2" width="57.85546875" style="2" customWidth="1"/>
    <col min="3" max="3" width="33.85546875" style="2" customWidth="1"/>
    <col min="4" max="5" width="26" style="2" customWidth="1"/>
    <col min="6" max="6" width="38.5703125" style="2" customWidth="1"/>
    <col min="7" max="7" width="26" style="2" customWidth="1"/>
    <col min="8" max="16384" width="11.42578125" style="2"/>
  </cols>
  <sheetData>
    <row r="2" spans="1:9" ht="15.75" thickBot="1" x14ac:dyDescent="0.3"/>
    <row r="3" spans="1:9" ht="28.5" x14ac:dyDescent="0.25">
      <c r="B3" s="117" t="s">
        <v>176</v>
      </c>
      <c r="C3" s="118"/>
      <c r="D3" s="118"/>
      <c r="E3" s="118"/>
      <c r="F3" s="118"/>
      <c r="G3" s="118"/>
      <c r="H3" s="118"/>
      <c r="I3" s="119"/>
    </row>
    <row r="4" spans="1:9" x14ac:dyDescent="0.25">
      <c r="B4" s="70"/>
      <c r="I4" s="71"/>
    </row>
    <row r="5" spans="1:9" ht="30" x14ac:dyDescent="0.25">
      <c r="B5" s="88" t="s">
        <v>177</v>
      </c>
      <c r="C5" s="47" t="str">
        <f>Calculation!C5</f>
        <v>Total mass of fuel, inert free (with effiency) - t</v>
      </c>
      <c r="D5" s="47" t="s">
        <v>18</v>
      </c>
      <c r="E5" s="47" t="s">
        <v>19</v>
      </c>
      <c r="F5" s="47" t="s">
        <v>32</v>
      </c>
      <c r="I5" s="71"/>
    </row>
    <row r="6" spans="1:9" ht="15.75" thickBot="1" x14ac:dyDescent="0.3">
      <c r="B6" s="89">
        <f>SUM('Input waste-biomass'!C4:C500)</f>
        <v>0</v>
      </c>
      <c r="C6" s="90">
        <f>Calculation!C6</f>
        <v>0</v>
      </c>
      <c r="D6" s="90">
        <f>Calculation!D6</f>
        <v>0</v>
      </c>
      <c r="E6" s="90">
        <f>Calculation!E6</f>
        <v>0</v>
      </c>
      <c r="F6" s="90">
        <f>Calculation!F6</f>
        <v>0</v>
      </c>
      <c r="G6" s="85"/>
      <c r="H6" s="85"/>
      <c r="I6" s="83"/>
    </row>
    <row r="8" spans="1:9" ht="15.75" thickBot="1" x14ac:dyDescent="0.3"/>
    <row r="9" spans="1:9" ht="28.5" x14ac:dyDescent="0.25">
      <c r="B9" s="117" t="s">
        <v>178</v>
      </c>
      <c r="C9" s="118"/>
      <c r="D9" s="118"/>
      <c r="E9" s="118"/>
      <c r="F9" s="118"/>
      <c r="G9" s="118"/>
      <c r="H9" s="118"/>
      <c r="I9" s="119"/>
    </row>
    <row r="10" spans="1:9" ht="73.5" customHeight="1" x14ac:dyDescent="0.25">
      <c r="B10" s="91" t="s">
        <v>184</v>
      </c>
      <c r="D10" s="2" t="str">
        <f>Calculation!F64</f>
        <v>Minimal Power output of the unit recommended based on the chosen operation rythm - kWe</v>
      </c>
      <c r="I10" s="71"/>
    </row>
    <row r="11" spans="1:9" x14ac:dyDescent="0.25">
      <c r="A11" s="120"/>
      <c r="B11" s="70" t="str">
        <f>Calculation!H45</f>
        <v>Electric power output (user's choice) - kWe</v>
      </c>
      <c r="C11" s="2">
        <f>Calculation!I45</f>
        <v>120</v>
      </c>
      <c r="D11" s="92">
        <f>Calculation!F65</f>
        <v>0</v>
      </c>
      <c r="I11" s="71"/>
    </row>
    <row r="12" spans="1:9" x14ac:dyDescent="0.25">
      <c r="A12" s="120"/>
      <c r="B12" s="70" t="str">
        <f>Calculation!H48</f>
        <v>Thermal power output - kWth</v>
      </c>
      <c r="C12" s="21" t="e">
        <f>Calculation!I48</f>
        <v>#DIV/0!</v>
      </c>
      <c r="I12" s="71"/>
    </row>
    <row r="13" spans="1:9" x14ac:dyDescent="0.25">
      <c r="B13" s="70"/>
      <c r="I13" s="71"/>
    </row>
    <row r="14" spans="1:9" x14ac:dyDescent="0.25">
      <c r="A14" s="120"/>
      <c r="B14" s="70" t="str">
        <f>Calculation!H46</f>
        <v>Total electricity produced - MWh/y</v>
      </c>
      <c r="C14" s="39">
        <f>Calculation!I46</f>
        <v>0</v>
      </c>
      <c r="I14" s="71"/>
    </row>
    <row r="15" spans="1:9" x14ac:dyDescent="0.25">
      <c r="A15" s="120"/>
      <c r="B15" s="70" t="str">
        <f>Calculation!K45</f>
        <v>Total heat produced - MWh/y</v>
      </c>
      <c r="C15" s="39">
        <f>Calculation!K46</f>
        <v>0</v>
      </c>
      <c r="I15" s="71"/>
    </row>
    <row r="16" spans="1:9" ht="30" customHeight="1" x14ac:dyDescent="0.25">
      <c r="B16" s="70"/>
      <c r="D16" s="121" t="str">
        <f>Calculation!J50</f>
        <v>in grey : fixed parameter, in red : variable to ensure the scenario</v>
      </c>
      <c r="E16" s="121"/>
      <c r="F16" s="121"/>
      <c r="G16" s="121"/>
      <c r="I16" s="71"/>
    </row>
    <row r="17" spans="2:9" ht="38.25" customHeight="1" x14ac:dyDescent="0.25">
      <c r="B17" s="70" t="str">
        <f>Calculation!H64</f>
        <v>Hours of operation per day - h/d</v>
      </c>
      <c r="C17" s="2">
        <f>Calculation!I64</f>
        <v>16</v>
      </c>
      <c r="D17" s="4" t="str">
        <f>Calculation!J51</f>
        <v>Scenario</v>
      </c>
      <c r="E17" s="4" t="str">
        <f>Calculation!K51</f>
        <v>Non-stop Operation (24/24, 7/7) - 1 annual stop</v>
      </c>
      <c r="F17" s="4" t="str">
        <f>Calculation!L51</f>
        <v>Operation spread over 1 year + condition : 5 d/week</v>
      </c>
      <c r="G17" s="4" t="str">
        <f>Calculation!M51</f>
        <v>Operation spread over 1 year + condition : 16 h/d</v>
      </c>
      <c r="I17" s="71"/>
    </row>
    <row r="18" spans="2:9" x14ac:dyDescent="0.25">
      <c r="B18" s="70" t="str">
        <f>Calculation!H65</f>
        <v>Number of operating day per week - d/week</v>
      </c>
      <c r="C18" s="2">
        <f>Calculation!I65</f>
        <v>6</v>
      </c>
      <c r="D18" s="4" t="str">
        <f>Calculation!J52</f>
        <v>h/d</v>
      </c>
      <c r="E18" s="41">
        <f>Calculation!K52</f>
        <v>24</v>
      </c>
      <c r="F18" s="86">
        <f>Calculation!L52</f>
        <v>0</v>
      </c>
      <c r="G18" s="41">
        <f>Calculation!M52</f>
        <v>16</v>
      </c>
      <c r="I18" s="71"/>
    </row>
    <row r="19" spans="2:9" x14ac:dyDescent="0.25">
      <c r="B19" s="70" t="str">
        <f>Calculation!H66</f>
        <v>Nombre operating week per year - week-year</v>
      </c>
      <c r="C19" s="2">
        <f>Calculation!I66</f>
        <v>40</v>
      </c>
      <c r="D19" s="4" t="str">
        <f>Calculation!J53</f>
        <v>d/week</v>
      </c>
      <c r="E19" s="41">
        <f>Calculation!K53</f>
        <v>7</v>
      </c>
      <c r="F19" s="41">
        <f>Calculation!L53</f>
        <v>5</v>
      </c>
      <c r="G19" s="86">
        <f>Calculation!M53</f>
        <v>0</v>
      </c>
      <c r="I19" s="71"/>
    </row>
    <row r="20" spans="2:9" x14ac:dyDescent="0.25">
      <c r="B20" s="70"/>
      <c r="D20" s="4" t="str">
        <f>Calculation!J54</f>
        <v>week/year</v>
      </c>
      <c r="E20" s="86">
        <f>Calculation!K54</f>
        <v>0</v>
      </c>
      <c r="F20" s="41">
        <f>Calculation!L54</f>
        <v>52</v>
      </c>
      <c r="G20" s="41">
        <f>Calculation!M54</f>
        <v>52</v>
      </c>
      <c r="I20" s="71"/>
    </row>
    <row r="21" spans="2:9" x14ac:dyDescent="0.25">
      <c r="B21" s="70" t="str">
        <f>Calculation!H70</f>
        <v>Number of working hours - h/y</v>
      </c>
      <c r="C21" s="2">
        <f>Calculation!I70</f>
        <v>3840</v>
      </c>
      <c r="I21" s="71"/>
    </row>
    <row r="22" spans="2:9" x14ac:dyDescent="0.25">
      <c r="B22" s="70"/>
      <c r="I22" s="71"/>
    </row>
    <row r="23" spans="2:9" x14ac:dyDescent="0.25">
      <c r="B23" s="91" t="s">
        <v>59</v>
      </c>
      <c r="I23" s="71"/>
    </row>
    <row r="24" spans="2:9" x14ac:dyDescent="0.25">
      <c r="B24" s="70" t="str">
        <f>Calculation!H99</f>
        <v>Surface occupied by fuel (as received) in the storage 1 - m2</v>
      </c>
      <c r="C24" s="21">
        <f>Calculation!I102</f>
        <v>0</v>
      </c>
      <c r="I24" s="71"/>
    </row>
    <row r="25" spans="2:9" x14ac:dyDescent="0.25">
      <c r="B25" s="70" t="str">
        <f>Calculation!H100</f>
        <v>Surface occupied by shredded fuel in the storage 2 - m2</v>
      </c>
      <c r="C25" s="21">
        <f>Calculation!I103</f>
        <v>0</v>
      </c>
      <c r="I25" s="71"/>
    </row>
    <row r="26" spans="2:9" x14ac:dyDescent="0.25">
      <c r="B26" s="70"/>
      <c r="I26" s="71"/>
    </row>
    <row r="27" spans="2:9" x14ac:dyDescent="0.25">
      <c r="B27" s="70"/>
      <c r="I27" s="71"/>
    </row>
    <row r="28" spans="2:9" x14ac:dyDescent="0.25">
      <c r="B28" s="91" t="s">
        <v>179</v>
      </c>
      <c r="I28" s="71"/>
    </row>
    <row r="29" spans="2:9" x14ac:dyDescent="0.25">
      <c r="B29" s="70" t="str">
        <f>Calculation!H139</f>
        <v>Inert removed during preparation phase (status as Waste) - t/y</v>
      </c>
      <c r="C29" s="57">
        <f>Calculation!I139</f>
        <v>0</v>
      </c>
      <c r="I29" s="71"/>
    </row>
    <row r="30" spans="2:9" x14ac:dyDescent="0.25">
      <c r="B30" s="70"/>
      <c r="I30" s="71"/>
    </row>
    <row r="31" spans="2:9" x14ac:dyDescent="0.25">
      <c r="B31" s="70" t="str">
        <f>Calculation!H147</f>
        <v>Residues of gasification - t/y</v>
      </c>
      <c r="C31" s="57">
        <f>Calculation!I147</f>
        <v>0</v>
      </c>
      <c r="I31" s="71"/>
    </row>
    <row r="32" spans="2:9" ht="15.75" thickBot="1" x14ac:dyDescent="0.3">
      <c r="B32" s="84" t="str">
        <f>Calculation!H151</f>
        <v>Quantities of fly ash (from cyclone or filters) - t /y</v>
      </c>
      <c r="C32" s="93">
        <f>Calculation!I151</f>
        <v>0</v>
      </c>
      <c r="D32" s="85"/>
      <c r="E32" s="85"/>
      <c r="F32" s="85"/>
      <c r="G32" s="85"/>
      <c r="H32" s="85"/>
      <c r="I32" s="83"/>
    </row>
    <row r="33" spans="2:9" ht="15.75" thickBot="1" x14ac:dyDescent="0.3"/>
    <row r="34" spans="2:9" ht="28.5" x14ac:dyDescent="0.25">
      <c r="B34" s="117" t="s">
        <v>185</v>
      </c>
      <c r="C34" s="118"/>
      <c r="D34" s="118"/>
      <c r="E34" s="118"/>
      <c r="F34" s="118"/>
      <c r="G34" s="118"/>
      <c r="H34" s="118"/>
      <c r="I34" s="119"/>
    </row>
    <row r="35" spans="2:9" ht="15.75" thickBot="1" x14ac:dyDescent="0.3">
      <c r="B35" s="70"/>
      <c r="I35" s="71"/>
    </row>
    <row r="36" spans="2:9" x14ac:dyDescent="0.25">
      <c r="B36" s="101" t="s">
        <v>174</v>
      </c>
      <c r="C36" s="102"/>
      <c r="D36" s="102"/>
      <c r="E36" s="102"/>
      <c r="F36" s="102"/>
      <c r="G36" s="102"/>
      <c r="H36" s="102"/>
      <c r="I36" s="103"/>
    </row>
    <row r="37" spans="2:9" x14ac:dyDescent="0.25">
      <c r="B37" s="100" t="s">
        <v>168</v>
      </c>
      <c r="C37" s="98" t="s">
        <v>169</v>
      </c>
      <c r="D37" s="98"/>
      <c r="E37" s="98"/>
      <c r="F37" s="98"/>
      <c r="G37" s="98"/>
      <c r="H37" s="98"/>
      <c r="I37" s="99"/>
    </row>
    <row r="38" spans="2:9" x14ac:dyDescent="0.25">
      <c r="B38" s="100"/>
      <c r="C38" s="4">
        <v>100</v>
      </c>
      <c r="D38" s="4">
        <v>150</v>
      </c>
      <c r="E38" s="4">
        <v>200</v>
      </c>
      <c r="F38" s="4">
        <v>250</v>
      </c>
      <c r="G38" s="4">
        <v>300</v>
      </c>
      <c r="H38" s="4">
        <v>350</v>
      </c>
      <c r="I38" s="64">
        <v>400</v>
      </c>
    </row>
    <row r="39" spans="2:9" x14ac:dyDescent="0.25">
      <c r="B39" s="63">
        <v>10</v>
      </c>
      <c r="C39" s="5">
        <f>Calculation!U136</f>
        <v>0</v>
      </c>
      <c r="D39" s="5">
        <f>Calculation!V136</f>
        <v>0</v>
      </c>
      <c r="E39" s="5">
        <f>Calculation!W136</f>
        <v>0</v>
      </c>
      <c r="F39" s="5">
        <f>Calculation!X136</f>
        <v>0</v>
      </c>
      <c r="G39" s="5">
        <f>Calculation!Y136</f>
        <v>0</v>
      </c>
      <c r="H39" s="5">
        <f>Calculation!Z136</f>
        <v>0</v>
      </c>
      <c r="I39" s="65">
        <f>Calculation!AA136</f>
        <v>0</v>
      </c>
    </row>
    <row r="40" spans="2:9" x14ac:dyDescent="0.25">
      <c r="B40" s="63">
        <v>50</v>
      </c>
      <c r="C40" s="5">
        <f>Calculation!U137</f>
        <v>0</v>
      </c>
      <c r="D40" s="5">
        <f>Calculation!V137</f>
        <v>0</v>
      </c>
      <c r="E40" s="5">
        <f>Calculation!W137</f>
        <v>0</v>
      </c>
      <c r="F40" s="5">
        <f>Calculation!X137</f>
        <v>0</v>
      </c>
      <c r="G40" s="5">
        <f>Calculation!Y137</f>
        <v>0</v>
      </c>
      <c r="H40" s="5">
        <f>Calculation!Z137</f>
        <v>0</v>
      </c>
      <c r="I40" s="65">
        <f>Calculation!AA137</f>
        <v>0</v>
      </c>
    </row>
    <row r="41" spans="2:9" x14ac:dyDescent="0.25">
      <c r="B41" s="63">
        <v>100</v>
      </c>
      <c r="C41" s="5">
        <f>Calculation!U138</f>
        <v>0</v>
      </c>
      <c r="D41" s="5">
        <f>Calculation!V138</f>
        <v>0</v>
      </c>
      <c r="E41" s="5">
        <f>Calculation!W138</f>
        <v>0</v>
      </c>
      <c r="F41" s="5">
        <f>Calculation!X138</f>
        <v>0</v>
      </c>
      <c r="G41" s="5">
        <f>Calculation!Y138</f>
        <v>0</v>
      </c>
      <c r="H41" s="5">
        <f>Calculation!Z138</f>
        <v>0</v>
      </c>
      <c r="I41" s="65">
        <f>Calculation!AA138</f>
        <v>0</v>
      </c>
    </row>
    <row r="42" spans="2:9" x14ac:dyDescent="0.25">
      <c r="B42" s="63">
        <v>150</v>
      </c>
      <c r="C42" s="5">
        <f>Calculation!U139</f>
        <v>0</v>
      </c>
      <c r="D42" s="5">
        <f>Calculation!V139</f>
        <v>0</v>
      </c>
      <c r="E42" s="5">
        <f>Calculation!W139</f>
        <v>0</v>
      </c>
      <c r="F42" s="5">
        <f>Calculation!X139</f>
        <v>0</v>
      </c>
      <c r="G42" s="5">
        <f>Calculation!Y139</f>
        <v>0</v>
      </c>
      <c r="H42" s="5">
        <f>Calculation!Z139</f>
        <v>0</v>
      </c>
      <c r="I42" s="65">
        <f>Calculation!AA139</f>
        <v>0</v>
      </c>
    </row>
    <row r="43" spans="2:9" x14ac:dyDescent="0.25">
      <c r="B43" s="63">
        <v>200</v>
      </c>
      <c r="C43" s="5">
        <f>Calculation!U140</f>
        <v>0</v>
      </c>
      <c r="D43" s="5">
        <f>Calculation!V140</f>
        <v>0</v>
      </c>
      <c r="E43" s="5">
        <f>Calculation!W140</f>
        <v>0</v>
      </c>
      <c r="F43" s="5">
        <f>Calculation!X140</f>
        <v>0</v>
      </c>
      <c r="G43" s="5">
        <f>Calculation!Y140</f>
        <v>0</v>
      </c>
      <c r="H43" s="5">
        <f>Calculation!Z140</f>
        <v>0</v>
      </c>
      <c r="I43" s="65">
        <f>Calculation!AA140</f>
        <v>0</v>
      </c>
    </row>
    <row r="44" spans="2:9" x14ac:dyDescent="0.25">
      <c r="B44" s="63">
        <v>250</v>
      </c>
      <c r="C44" s="5">
        <f>Calculation!U141</f>
        <v>0</v>
      </c>
      <c r="D44" s="5">
        <f>Calculation!V141</f>
        <v>0</v>
      </c>
      <c r="E44" s="5">
        <f>Calculation!W141</f>
        <v>0</v>
      </c>
      <c r="F44" s="5">
        <f>Calculation!X141</f>
        <v>0</v>
      </c>
      <c r="G44" s="5">
        <f>Calculation!Y141</f>
        <v>0</v>
      </c>
      <c r="H44" s="5">
        <f>Calculation!Z141</f>
        <v>0</v>
      </c>
      <c r="I44" s="65">
        <f>Calculation!AA141</f>
        <v>0</v>
      </c>
    </row>
    <row r="45" spans="2:9" ht="15.75" thickBot="1" x14ac:dyDescent="0.3">
      <c r="B45" s="66">
        <v>300</v>
      </c>
      <c r="C45" s="5">
        <f>Calculation!U142</f>
        <v>0</v>
      </c>
      <c r="D45" s="5">
        <f>Calculation!V142</f>
        <v>0</v>
      </c>
      <c r="E45" s="5">
        <f>Calculation!W142</f>
        <v>0</v>
      </c>
      <c r="F45" s="5">
        <f>Calculation!X142</f>
        <v>0</v>
      </c>
      <c r="G45" s="5">
        <f>Calculation!Y142</f>
        <v>0</v>
      </c>
      <c r="H45" s="5">
        <f>Calculation!Z142</f>
        <v>0</v>
      </c>
      <c r="I45" s="65">
        <f>Calculation!AA142</f>
        <v>0</v>
      </c>
    </row>
    <row r="46" spans="2:9" x14ac:dyDescent="0.25">
      <c r="B46" s="70"/>
      <c r="I46" s="71"/>
    </row>
    <row r="47" spans="2:9" x14ac:dyDescent="0.25">
      <c r="B47" s="70"/>
      <c r="I47" s="71"/>
    </row>
    <row r="48" spans="2:9" x14ac:dyDescent="0.25">
      <c r="B48" s="70"/>
      <c r="I48" s="71"/>
    </row>
    <row r="49" spans="2:9" ht="15.75" thickBot="1" x14ac:dyDescent="0.3">
      <c r="B49" s="70"/>
      <c r="I49" s="71"/>
    </row>
    <row r="50" spans="2:9" ht="18.75" x14ac:dyDescent="0.25">
      <c r="B50" s="69" t="str">
        <f>Calculation!T147</f>
        <v>Capital Cost</v>
      </c>
      <c r="C50" s="81">
        <f>Calculation!U147</f>
        <v>2017000</v>
      </c>
      <c r="D50" s="82" t="s">
        <v>143</v>
      </c>
      <c r="F50" s="69" t="str">
        <f>Calculation!Y153</f>
        <v xml:space="preserve">Incomes </v>
      </c>
      <c r="G50" s="81">
        <f>Calculation!Z153</f>
        <v>0</v>
      </c>
      <c r="H50" s="82" t="s">
        <v>172</v>
      </c>
      <c r="I50" s="71"/>
    </row>
    <row r="51" spans="2:9" x14ac:dyDescent="0.25">
      <c r="B51" s="73" t="str">
        <f>Calculation!T148</f>
        <v>Fuel management</v>
      </c>
      <c r="C51" s="74">
        <f>Calculation!U148</f>
        <v>75000</v>
      </c>
      <c r="D51" s="72" t="s">
        <v>143</v>
      </c>
      <c r="F51" s="73" t="str">
        <f>Calculation!Y154</f>
        <v>Electricity - €/y</v>
      </c>
      <c r="G51" s="74">
        <f>Calculation!Z154</f>
        <v>0</v>
      </c>
      <c r="H51" s="72" t="s">
        <v>172</v>
      </c>
      <c r="I51" s="71"/>
    </row>
    <row r="52" spans="2:9" x14ac:dyDescent="0.25">
      <c r="B52" s="73" t="str">
        <f>Calculation!T149</f>
        <v>Process (energy production)</v>
      </c>
      <c r="C52" s="74">
        <f>Calculation!U149</f>
        <v>1620000</v>
      </c>
      <c r="D52" s="72" t="s">
        <v>143</v>
      </c>
      <c r="F52" s="73" t="str">
        <f>Calculation!Y155</f>
        <v>Heat - €/y</v>
      </c>
      <c r="G52" s="74">
        <f>Calculation!Z155</f>
        <v>0</v>
      </c>
      <c r="H52" s="72" t="s">
        <v>172</v>
      </c>
      <c r="I52" s="71"/>
    </row>
    <row r="53" spans="2:9" ht="15.75" thickBot="1" x14ac:dyDescent="0.3">
      <c r="B53" s="78" t="str">
        <f>Calculation!T150</f>
        <v>Ingineering, Construction, Transport</v>
      </c>
      <c r="C53" s="79">
        <f>Calculation!U150</f>
        <v>322000</v>
      </c>
      <c r="D53" s="80" t="s">
        <v>143</v>
      </c>
      <c r="F53" s="73" t="str">
        <f>Calculation!Y156</f>
        <v>Revenues as waste treament - €/y</v>
      </c>
      <c r="G53" s="74">
        <f>Calculation!Z156</f>
        <v>0</v>
      </c>
      <c r="H53" s="72" t="s">
        <v>172</v>
      </c>
      <c r="I53" s="71"/>
    </row>
    <row r="54" spans="2:9" ht="15.75" thickBot="1" x14ac:dyDescent="0.3">
      <c r="B54" s="70"/>
      <c r="F54" s="94" t="s">
        <v>175</v>
      </c>
      <c r="G54" s="95"/>
      <c r="H54" s="96"/>
      <c r="I54" s="71"/>
    </row>
    <row r="55" spans="2:9" ht="15.75" thickBot="1" x14ac:dyDescent="0.3">
      <c r="B55" s="70"/>
      <c r="I55" s="71"/>
    </row>
    <row r="56" spans="2:9" ht="18.75" x14ac:dyDescent="0.25">
      <c r="B56" s="69" t="str">
        <f>Calculation!T153</f>
        <v>Operational Cost</v>
      </c>
      <c r="C56" s="81">
        <f>Calculation!U153</f>
        <v>149000</v>
      </c>
      <c r="D56" s="82" t="s">
        <v>172</v>
      </c>
      <c r="I56" s="71"/>
    </row>
    <row r="57" spans="2:9" x14ac:dyDescent="0.25">
      <c r="B57" s="75" t="str">
        <f>Calculation!T154</f>
        <v>Fixed Charge</v>
      </c>
      <c r="C57" s="76">
        <f>Calculation!U154</f>
        <v>68000</v>
      </c>
      <c r="D57" s="72" t="s">
        <v>172</v>
      </c>
      <c r="I57" s="71"/>
    </row>
    <row r="58" spans="2:9" x14ac:dyDescent="0.25">
      <c r="B58" s="73" t="str">
        <f>Calculation!T155</f>
        <v>Maintenance</v>
      </c>
      <c r="C58" s="74">
        <f>Calculation!U155</f>
        <v>19000</v>
      </c>
      <c r="D58" s="72" t="s">
        <v>172</v>
      </c>
      <c r="I58" s="71"/>
    </row>
    <row r="59" spans="2:9" x14ac:dyDescent="0.25">
      <c r="B59" s="73" t="str">
        <f>Calculation!T156</f>
        <v>Salary</v>
      </c>
      <c r="C59" s="74">
        <f>Calculation!U156</f>
        <v>34000</v>
      </c>
      <c r="D59" s="72" t="s">
        <v>172</v>
      </c>
      <c r="I59" s="71"/>
    </row>
    <row r="60" spans="2:9" x14ac:dyDescent="0.25">
      <c r="B60" s="73" t="str">
        <f>Calculation!T157</f>
        <v>Other</v>
      </c>
      <c r="C60" s="74">
        <f>Calculation!U157</f>
        <v>15000</v>
      </c>
      <c r="D60" s="72" t="s">
        <v>172</v>
      </c>
      <c r="I60" s="71"/>
    </row>
    <row r="61" spans="2:9" x14ac:dyDescent="0.25">
      <c r="B61" s="73"/>
      <c r="D61" s="71"/>
      <c r="I61" s="71"/>
    </row>
    <row r="62" spans="2:9" x14ac:dyDescent="0.25">
      <c r="B62" s="75" t="str">
        <f>Calculation!T159</f>
        <v>Variable Charge</v>
      </c>
      <c r="C62" s="76">
        <f>Calculation!U159</f>
        <v>81000</v>
      </c>
      <c r="D62" s="72" t="s">
        <v>172</v>
      </c>
      <c r="I62" s="71"/>
    </row>
    <row r="63" spans="2:9" x14ac:dyDescent="0.25">
      <c r="B63" s="73" t="str">
        <f>Calculation!T160</f>
        <v>Fuel</v>
      </c>
      <c r="C63" s="77">
        <f>Calculation!U160</f>
        <v>0</v>
      </c>
      <c r="D63" s="72" t="s">
        <v>172</v>
      </c>
      <c r="I63" s="71"/>
    </row>
    <row r="64" spans="2:9" x14ac:dyDescent="0.25">
      <c r="B64" s="73" t="str">
        <f>Calculation!T161</f>
        <v>Self consumption</v>
      </c>
      <c r="C64" s="77">
        <f>Calculation!U161</f>
        <v>0</v>
      </c>
      <c r="D64" s="72" t="s">
        <v>172</v>
      </c>
      <c r="I64" s="71"/>
    </row>
    <row r="65" spans="2:9" x14ac:dyDescent="0.25">
      <c r="B65" s="73" t="str">
        <f>Calculation!T162</f>
        <v>Evacuation of Residues</v>
      </c>
      <c r="C65" s="77">
        <f>Calculation!U162</f>
        <v>0</v>
      </c>
      <c r="D65" s="72" t="s">
        <v>172</v>
      </c>
      <c r="I65" s="71"/>
    </row>
    <row r="66" spans="2:9" ht="15.75" thickBot="1" x14ac:dyDescent="0.3">
      <c r="B66" s="78" t="str">
        <f>Calculation!T163</f>
        <v>Loan</v>
      </c>
      <c r="C66" s="87">
        <f>Calculation!U163</f>
        <v>81000</v>
      </c>
      <c r="D66" s="80" t="s">
        <v>172</v>
      </c>
      <c r="E66" s="85"/>
      <c r="F66" s="85"/>
      <c r="G66" s="85"/>
      <c r="H66" s="85"/>
      <c r="I66" s="83"/>
    </row>
  </sheetData>
  <mergeCells count="10">
    <mergeCell ref="A11:A12"/>
    <mergeCell ref="A14:A15"/>
    <mergeCell ref="D16:G16"/>
    <mergeCell ref="B9:I9"/>
    <mergeCell ref="B3:I3"/>
    <mergeCell ref="B36:I36"/>
    <mergeCell ref="B37:B38"/>
    <mergeCell ref="C37:I37"/>
    <mergeCell ref="F54:H54"/>
    <mergeCell ref="B34:I34"/>
  </mergeCells>
  <conditionalFormatting sqref="D11">
    <cfRule type="cellIs" dxfId="2" priority="5" operator="lessThan">
      <formula>$C$11</formula>
    </cfRule>
    <cfRule type="cellIs" dxfId="1" priority="6" operator="greaterThan">
      <formula>$C$11</formula>
    </cfRule>
  </conditionalFormatting>
  <pageMargins left="0.7" right="0.7" top="0.75" bottom="0.75" header="0.3" footer="0.3"/>
  <pageSetup paperSize="9" scale="4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41CC8CBA-137A-46F0-B02A-13E8F0F83C60}">
            <xm:f>Calculation!$AB$125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C39:I45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Input waste-biomass</vt:lpstr>
      <vt:lpstr>Calculation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gwendal.vonk</dc:creator>
  <cp:lastModifiedBy>gwendal.vonk</cp:lastModifiedBy>
  <cp:lastPrinted>2022-12-16T13:28:08Z</cp:lastPrinted>
  <dcterms:created xsi:type="dcterms:W3CDTF">2022-01-21T08:02:36Z</dcterms:created>
  <dcterms:modified xsi:type="dcterms:W3CDTF">2022-12-16T13:38:36Z</dcterms:modified>
</cp:coreProperties>
</file>